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tednations.sharepoint.com/sites/ECE_SD/Shared Documents/EconStat/1 National accounts/20_WORKSHOPS/FA Brussels 2023/Presentations/"/>
    </mc:Choice>
  </mc:AlternateContent>
  <xr:revisionPtr revIDLastSave="153" documentId="13_ncr:1_{D00B46D1-8A01-4FEB-8E81-C5AA49151961}" xr6:coauthVersionLast="47" xr6:coauthVersionMax="47" xr10:uidLastSave="{2001A47F-CDCA-4D66-B1F1-EB4B96B53C90}"/>
  <bookViews>
    <workbookView xWindow="30600" yWindow="270" windowWidth="25065" windowHeight="15360" tabRatio="708" activeTab="4" xr2:uid="{00000000-000D-0000-FFFF-FFFF00000000}"/>
  </bookViews>
  <sheets>
    <sheet name="Содержание" sheetId="34" r:id="rId1"/>
    <sheet name="Инструкция" sheetId="33" r:id="rId2"/>
    <sheet name="Шаблон ЧКЗ" sheetId="31" r:id="rId3"/>
    <sheet name="От кого к кому" sheetId="32" r:id="rId4"/>
    <sheet name="NLB" sheetId="35" r:id="rId5"/>
    <sheet name="calc" sheetId="36" r:id="rId6"/>
    <sheet name="NFC_A_L" sheetId="23" r:id="rId7"/>
    <sheet name="FC_A_L" sheetId="24" r:id="rId8"/>
    <sheet name="GG_A_L" sheetId="25" r:id="rId9"/>
    <sheet name="HH_A_L" sheetId="26" r:id="rId10"/>
    <sheet name="ROW_A_L" sheetId="27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5" i="36" l="1"/>
  <c r="N45" i="36"/>
  <c r="M45" i="36"/>
  <c r="L45" i="36"/>
  <c r="K45" i="36"/>
  <c r="G45" i="36"/>
  <c r="F45" i="36"/>
  <c r="C45" i="36"/>
  <c r="Q45" i="36" s="1"/>
  <c r="G40" i="36"/>
  <c r="E40" i="36"/>
  <c r="E45" i="36" s="1"/>
  <c r="D40" i="36"/>
  <c r="D45" i="36" s="1"/>
  <c r="O34" i="36"/>
  <c r="N34" i="36"/>
  <c r="M34" i="36"/>
  <c r="L34" i="36"/>
  <c r="K34" i="36"/>
  <c r="G34" i="36"/>
  <c r="F34" i="36"/>
  <c r="E34" i="36"/>
  <c r="D34" i="36"/>
  <c r="Q34" i="36" s="1"/>
  <c r="C34" i="36"/>
  <c r="O23" i="36"/>
  <c r="N23" i="36"/>
  <c r="M23" i="36"/>
  <c r="L23" i="36"/>
  <c r="K23" i="36"/>
  <c r="G23" i="36"/>
  <c r="F23" i="36"/>
  <c r="E23" i="36"/>
  <c r="D23" i="36"/>
  <c r="C23" i="36"/>
  <c r="Q23" i="36" s="1"/>
  <c r="K17" i="36"/>
  <c r="O12" i="36"/>
  <c r="N12" i="36"/>
  <c r="L12" i="36"/>
  <c r="G12" i="36"/>
  <c r="D12" i="36"/>
  <c r="C12" i="36"/>
  <c r="K10" i="36"/>
  <c r="K12" i="36" s="1"/>
  <c r="F10" i="36"/>
  <c r="E10" i="36"/>
  <c r="D10" i="36"/>
  <c r="F8" i="36"/>
  <c r="F12" i="36" s="1"/>
  <c r="E8" i="36"/>
  <c r="E12" i="36" s="1"/>
  <c r="D8" i="36"/>
  <c r="M7" i="36"/>
  <c r="F7" i="36"/>
  <c r="D7" i="36"/>
  <c r="M6" i="36"/>
  <c r="M12" i="36" s="1"/>
  <c r="D6" i="36"/>
  <c r="Q25" i="35"/>
  <c r="M25" i="35"/>
  <c r="J25" i="35"/>
  <c r="I25" i="35"/>
  <c r="P23" i="35"/>
  <c r="N23" i="35"/>
  <c r="F23" i="35"/>
  <c r="H23" i="35" s="1"/>
  <c r="R23" i="35" s="1"/>
  <c r="K21" i="35"/>
  <c r="N21" i="35" s="1"/>
  <c r="P21" i="35" s="1"/>
  <c r="G21" i="35"/>
  <c r="E21" i="35"/>
  <c r="E25" i="35" s="1"/>
  <c r="M3" i="35" s="1"/>
  <c r="M4" i="35" s="1"/>
  <c r="D21" i="35"/>
  <c r="C21" i="35"/>
  <c r="B21" i="35"/>
  <c r="F21" i="35" s="1"/>
  <c r="H21" i="35" s="1"/>
  <c r="L19" i="35"/>
  <c r="N19" i="35" s="1"/>
  <c r="P19" i="35" s="1"/>
  <c r="D19" i="35"/>
  <c r="D25" i="35" s="1"/>
  <c r="L3" i="35" s="1"/>
  <c r="L4" i="35" s="1"/>
  <c r="B19" i="35"/>
  <c r="F19" i="35" s="1"/>
  <c r="H19" i="35" s="1"/>
  <c r="R19" i="35" s="1"/>
  <c r="R18" i="35"/>
  <c r="N17" i="35"/>
  <c r="P17" i="35" s="1"/>
  <c r="F17" i="35"/>
  <c r="H17" i="35" s="1"/>
  <c r="R17" i="35" s="1"/>
  <c r="N15" i="35"/>
  <c r="P15" i="35" s="1"/>
  <c r="E15" i="35"/>
  <c r="D15" i="35"/>
  <c r="C15" i="35"/>
  <c r="B15" i="35"/>
  <c r="F15" i="35" s="1"/>
  <c r="H15" i="35" s="1"/>
  <c r="R15" i="35" s="1"/>
  <c r="P13" i="35"/>
  <c r="N13" i="35"/>
  <c r="F13" i="35"/>
  <c r="H13" i="35" s="1"/>
  <c r="R13" i="35" s="1"/>
  <c r="L11" i="35"/>
  <c r="L25" i="35" s="1"/>
  <c r="K11" i="35"/>
  <c r="K25" i="35" s="1"/>
  <c r="E11" i="35"/>
  <c r="C11" i="35"/>
  <c r="F11" i="35" s="1"/>
  <c r="H11" i="35" s="1"/>
  <c r="O9" i="35"/>
  <c r="O25" i="35" s="1"/>
  <c r="N9" i="35"/>
  <c r="P9" i="35" s="1"/>
  <c r="M9" i="35"/>
  <c r="L9" i="35"/>
  <c r="K9" i="35"/>
  <c r="J9" i="35"/>
  <c r="G9" i="35"/>
  <c r="G25" i="35" s="1"/>
  <c r="C9" i="35"/>
  <c r="C25" i="35" s="1"/>
  <c r="K3" i="35" s="1"/>
  <c r="K4" i="35" s="1"/>
  <c r="B9" i="35"/>
  <c r="N2" i="35"/>
  <c r="D2" i="27"/>
  <c r="D2" i="26"/>
  <c r="D2" i="25"/>
  <c r="D2" i="24"/>
  <c r="D2" i="23"/>
  <c r="J1" i="32"/>
  <c r="F1" i="31"/>
  <c r="A12" i="34"/>
  <c r="A11" i="34"/>
  <c r="A10" i="34"/>
  <c r="A9" i="34"/>
  <c r="A8" i="34"/>
  <c r="A6" i="34"/>
  <c r="A5" i="34"/>
  <c r="J1" i="33"/>
  <c r="A3" i="34"/>
  <c r="H7" i="31"/>
  <c r="M13" i="32"/>
  <c r="L13" i="32"/>
  <c r="K13" i="32"/>
  <c r="J13" i="32"/>
  <c r="I13" i="32"/>
  <c r="F13" i="32"/>
  <c r="C13" i="32"/>
  <c r="G13" i="32"/>
  <c r="E13" i="32"/>
  <c r="D13" i="32"/>
  <c r="M37" i="32"/>
  <c r="L37" i="32"/>
  <c r="K37" i="32"/>
  <c r="J37" i="32"/>
  <c r="I37" i="32"/>
  <c r="G37" i="32"/>
  <c r="F37" i="32"/>
  <c r="E37" i="32"/>
  <c r="D37" i="32"/>
  <c r="C37" i="32"/>
  <c r="M29" i="32"/>
  <c r="L29" i="32"/>
  <c r="K29" i="32"/>
  <c r="J29" i="32"/>
  <c r="I29" i="32"/>
  <c r="G29" i="32"/>
  <c r="F29" i="32"/>
  <c r="E29" i="32"/>
  <c r="D29" i="32"/>
  <c r="C29" i="32"/>
  <c r="M21" i="32"/>
  <c r="L21" i="32"/>
  <c r="K21" i="32"/>
  <c r="J21" i="32"/>
  <c r="G21" i="32"/>
  <c r="C21" i="32"/>
  <c r="I21" i="32"/>
  <c r="E21" i="32"/>
  <c r="D21" i="32"/>
  <c r="F21" i="32"/>
  <c r="P20" i="31"/>
  <c r="H20" i="31"/>
  <c r="P19" i="31"/>
  <c r="P18" i="31"/>
  <c r="P17" i="31"/>
  <c r="H17" i="31"/>
  <c r="P16" i="31"/>
  <c r="P15" i="31"/>
  <c r="H15" i="31"/>
  <c r="H14" i="31"/>
  <c r="O21" i="31"/>
  <c r="M21" i="31"/>
  <c r="J21" i="31"/>
  <c r="F41" i="24"/>
  <c r="F9" i="26"/>
  <c r="F8" i="26" s="1"/>
  <c r="F13" i="24"/>
  <c r="F11" i="25"/>
  <c r="F10" i="25" s="1"/>
  <c r="D11" i="25"/>
  <c r="D10" i="25" s="1"/>
  <c r="D33" i="24"/>
  <c r="Q12" i="36" l="1"/>
  <c r="O3" i="35"/>
  <c r="R21" i="35"/>
  <c r="N11" i="35"/>
  <c r="P11" i="35" s="1"/>
  <c r="R11" i="35" s="1"/>
  <c r="N25" i="35"/>
  <c r="F9" i="35"/>
  <c r="B25" i="35"/>
  <c r="J3" i="35" s="1"/>
  <c r="J4" i="35" s="1"/>
  <c r="R17" i="31"/>
  <c r="R20" i="31"/>
  <c r="R15" i="31"/>
  <c r="H18" i="31"/>
  <c r="R18" i="31" s="1"/>
  <c r="D21" i="31"/>
  <c r="E21" i="31"/>
  <c r="E6" i="31" s="1"/>
  <c r="E7" i="31" s="1"/>
  <c r="H19" i="31"/>
  <c r="R19" i="31" s="1"/>
  <c r="C21" i="31"/>
  <c r="G21" i="31"/>
  <c r="G6" i="31" s="1"/>
  <c r="P14" i="31"/>
  <c r="R14" i="31" s="1"/>
  <c r="K21" i="31"/>
  <c r="L21" i="31"/>
  <c r="H16" i="31"/>
  <c r="R16" i="31" s="1"/>
  <c r="N29" i="32"/>
  <c r="N21" i="32"/>
  <c r="N37" i="32"/>
  <c r="N13" i="32"/>
  <c r="B21" i="31"/>
  <c r="B6" i="31" s="1"/>
  <c r="B7" i="31" s="1"/>
  <c r="P13" i="31"/>
  <c r="P21" i="31" s="1"/>
  <c r="P25" i="35" l="1"/>
  <c r="H9" i="35"/>
  <c r="F25" i="35"/>
  <c r="N3" i="35" s="1"/>
  <c r="N4" i="35" s="1"/>
  <c r="P3" i="35"/>
  <c r="O4" i="35"/>
  <c r="P4" i="35" s="1"/>
  <c r="N21" i="31"/>
  <c r="D6" i="31"/>
  <c r="D7" i="31" s="1"/>
  <c r="C6" i="31"/>
  <c r="C7" i="31" s="1"/>
  <c r="G7" i="31"/>
  <c r="H6" i="31"/>
  <c r="H13" i="31"/>
  <c r="R13" i="31" s="1"/>
  <c r="R21" i="31" s="1"/>
  <c r="F21" i="31"/>
  <c r="H25" i="35" l="1"/>
  <c r="R9" i="35"/>
  <c r="R25" i="35" s="1"/>
  <c r="F6" i="31"/>
  <c r="F7" i="31" s="1"/>
  <c r="H21" i="31"/>
</calcChain>
</file>

<file path=xl/sharedStrings.xml><?xml version="1.0" encoding="utf-8"?>
<sst xmlns="http://schemas.openxmlformats.org/spreadsheetml/2006/main" count="845" uniqueCount="117">
  <si>
    <t>NFC</t>
  </si>
  <si>
    <t>FC</t>
  </si>
  <si>
    <t>GG</t>
  </si>
  <si>
    <t>ROW</t>
  </si>
  <si>
    <t/>
  </si>
  <si>
    <t>S1</t>
  </si>
  <si>
    <t>S11</t>
  </si>
  <si>
    <t>S12</t>
  </si>
  <si>
    <t>S13</t>
  </si>
  <si>
    <t>S14+S15</t>
  </si>
  <si>
    <t>S2</t>
  </si>
  <si>
    <t xml:space="preserve"> </t>
  </si>
  <si>
    <t>AF2</t>
  </si>
  <si>
    <t>AF</t>
  </si>
  <si>
    <t>AF3</t>
  </si>
  <si>
    <t>AF4</t>
  </si>
  <si>
    <t>AF5</t>
  </si>
  <si>
    <t>AF6</t>
  </si>
  <si>
    <t>AF7</t>
  </si>
  <si>
    <t>AF8</t>
  </si>
  <si>
    <t>AF1</t>
  </si>
  <si>
    <t>Total</t>
  </si>
  <si>
    <t>HH</t>
  </si>
  <si>
    <t>Deposits</t>
  </si>
  <si>
    <t>Рабочая таблица: Чистое кредитование и чистое заимствование</t>
  </si>
  <si>
    <t>Итого</t>
  </si>
  <si>
    <t>Остальной мир</t>
  </si>
  <si>
    <t>Нефинансовые корпорации</t>
  </si>
  <si>
    <t xml:space="preserve">Финансовые корпорации </t>
  </si>
  <si>
    <t xml:space="preserve"> Органы госуправления</t>
  </si>
  <si>
    <t>Домашишние хозяйства+ НКО</t>
  </si>
  <si>
    <t>Отечественные</t>
  </si>
  <si>
    <t>Изменение активов</t>
  </si>
  <si>
    <t>Изменение обязательств</t>
  </si>
  <si>
    <t>Проверка баланса</t>
  </si>
  <si>
    <t>Чистое кредитование / Чистое заимствование (счет текущих операций и операций с капиталом)</t>
  </si>
  <si>
    <t>Чистое кредитование / Чистое заимствование (финансовый счет)</t>
  </si>
  <si>
    <t>Расхождение</t>
  </si>
  <si>
    <t>Операции с активами и обязательствами</t>
  </si>
  <si>
    <t>Категории операций</t>
  </si>
  <si>
    <t>Ссуды</t>
  </si>
  <si>
    <t>Долговые ценные бумаги</t>
  </si>
  <si>
    <t>Прочая дебиторская задолженность</t>
  </si>
  <si>
    <t>Итого по колонке</t>
  </si>
  <si>
    <t>Страхование, пенсионное обеспечение и программы стандартизированных гарантий</t>
  </si>
  <si>
    <t>Производные финансовые инструменты и опционы на приобретение акций работниками</t>
  </si>
  <si>
    <t>Акционерный капитал и акции инвестиционных фондов</t>
  </si>
  <si>
    <t>Монетарное золото и СПЗ</t>
  </si>
  <si>
    <t>Наличная валюта и депозиты</t>
  </si>
  <si>
    <t>Содержание</t>
  </si>
  <si>
    <t xml:space="preserve">Согласование и балансирование финансовых счетов </t>
  </si>
  <si>
    <t>Упражнение для рабочего совещания</t>
  </si>
  <si>
    <t>Департамент статистики МВФ</t>
  </si>
  <si>
    <t>9 -11 октябрь 2023 г.</t>
  </si>
  <si>
    <t>Рабочая таблица для составления "от кого к кому"</t>
  </si>
  <si>
    <t>Рабочие таблицы</t>
  </si>
  <si>
    <t>Данные о финансовых запасах</t>
  </si>
  <si>
    <t xml:space="preserve">Рабочее совещание: </t>
  </si>
  <si>
    <t>Согласованность и сбалансированность финансовых счетов</t>
  </si>
  <si>
    <t>Цель данного семинара - дать практический опыт составления операций на основе данных о запасах, осветить структуру счетов и связь счета операций с капиталом с финансовым счетом.</t>
  </si>
  <si>
    <t>Материал предоставляется заранее</t>
  </si>
  <si>
    <t xml:space="preserve">1. Первичные данные: </t>
  </si>
  <si>
    <t>2. Шаблоны бланков:</t>
  </si>
  <si>
    <t>В таблицах с 1 по 5 представлены данные о финансовых запасах основных институциональных секторов экономики. Это четыре сектора: нефинансовые корпорации, финансовые корпорации, органы государственного управления, домашние хозяйства и некоммерческие организации, обслуживающие домашние хозяйства и остальной мир. Данные получены из различных источников, однако доступны только балансы, информация о сделках не собирается ни по одному институциональному сектору.</t>
  </si>
  <si>
    <t>Упражнение</t>
  </si>
  <si>
    <t xml:space="preserve">(a) Ввести данные в финансовые счета с помощью прилагаемой рабочей таблицы </t>
  </si>
  <si>
    <t>(b) Вывести балансирующие статьи по каждому счету для пяти институциональных секторов данной экономики и для экономики в целом.</t>
  </si>
  <si>
    <t>Дополнительная информация</t>
  </si>
  <si>
    <t>(b) Долевые ценные бумаги:</t>
  </si>
  <si>
    <t>b.      Индекс цен на финансовые акции составлял 80 на момент закрытия баланса в 1-м году и 90 на момент закрытия баланса во 2-м году, при этом средняя цена в 1-м и 2-м году составляла 85 единиц.</t>
  </si>
  <si>
    <r>
      <t>(c)</t>
    </r>
    <r>
      <rPr>
        <b/>
        <sz val="7"/>
        <color theme="1"/>
        <rFont val="Times New Roman"/>
        <family val="1"/>
      </rPr>
      <t xml:space="preserve">   </t>
    </r>
    <r>
      <rPr>
        <b/>
        <sz val="12"/>
        <color theme="1"/>
        <rFont val="Times New Roman"/>
        <family val="1"/>
      </rPr>
      <t xml:space="preserve">Ссуды: </t>
    </r>
  </si>
  <si>
    <t>НФК</t>
  </si>
  <si>
    <t>ФК</t>
  </si>
  <si>
    <t>ОГУ</t>
  </si>
  <si>
    <t>ДХ</t>
  </si>
  <si>
    <t>ОМ</t>
  </si>
  <si>
    <t>Финансовые корпорации</t>
  </si>
  <si>
    <t>Органы государственного управления</t>
  </si>
  <si>
    <t>Органы гос управления</t>
  </si>
  <si>
    <t>Таблица 1: Нефинансовые корпорации</t>
  </si>
  <si>
    <t>(на конец года / в миллионах денежных единиц)</t>
  </si>
  <si>
    <t>ОТЕЧЕСТВЕННЫЕ РЕЗИДЕНТЫ</t>
  </si>
  <si>
    <t>ОСТАЛЬНОЙ МИР</t>
  </si>
  <si>
    <t>Акционерный капитал и акции/паи
инвестиционных фондов</t>
  </si>
  <si>
    <t>Страхование, пенсионное обеспечение и стандартизированные гарантии</t>
  </si>
  <si>
    <t>Итого финансовых обязательств</t>
  </si>
  <si>
    <t>Итого Финансовых активов</t>
  </si>
  <si>
    <t>Домашние хозяйства и НКОДХ</t>
  </si>
  <si>
    <t>Правительство</t>
  </si>
  <si>
    <t>Таблица 2:  Финансовые корпорации</t>
  </si>
  <si>
    <t>Таблица 3:  Органы государственного управления</t>
  </si>
  <si>
    <t>Таблица 4: Домашние хозяйства и НКОДХ</t>
  </si>
  <si>
    <t>Год 1</t>
  </si>
  <si>
    <t>Год 2</t>
  </si>
  <si>
    <t>Таблица 5: Остальной мир</t>
  </si>
  <si>
    <t xml:space="preserve">КУРС ПО БАЛАНСУ АКТИВОВ И ПАССИВОВ, И СЧЕТАМ НАКОПЛЕНИЯ </t>
  </si>
  <si>
    <t xml:space="preserve">Данные, приведенные в табл. 1-5, получены из различных источников статистики и отредактированы для соответствия структуре национальных счетов. </t>
  </si>
  <si>
    <t>Используя предоставленную информацию, необходимо вывести соответствующие операции.</t>
  </si>
  <si>
    <t>Приведены данные по чистому кредитованию и чистому заимствованию для счета текущих операций и счета операций с капиталом, а также  чистая рабочая таблица с форматом финансового счета. Кроме того, для некоторых инструментов предусмотрен шаблон "от кого к кому".</t>
  </si>
  <si>
    <r>
      <rPr>
        <b/>
        <sz val="12"/>
        <rFont val="Times New Roman"/>
        <family val="1"/>
      </rPr>
      <t>(a) Долговые ценные бумаги</t>
    </r>
    <r>
      <rPr>
        <sz val="12"/>
        <rFont val="Times New Roman"/>
        <family val="1"/>
      </rPr>
      <t>: Обязательства оценены  по амортизированной стоимости, в связи с чем не производится корректировка курса и не начисляются проценты.</t>
    </r>
  </si>
  <si>
    <t>a.      Индекс цен на  нефинансовые акции составлял 80 единиц на момент закрытия баланса в 1-м году и 100 единиц на момент закрытия баланса во 2-м году, при этом средняя цена в 1-м и 2-м годах составляла 90 единиц.</t>
  </si>
  <si>
    <t xml:space="preserve">a.      В конце второго года финансовые учреждения определили, что кредиты, предоставленные нефинансовым корпорациям, на сумму 8000 были признаны неработающими. </t>
  </si>
  <si>
    <t xml:space="preserve">        Аналогичным образом, сумма кредитов 1500, предоставленных финансовым корпорациям, и сумма кредитов 10000, предоставленных домашним хозяйствам, были признаны недействующими.</t>
  </si>
  <si>
    <t>c.      Что касается обязательств - долевые ценные бумаги оцениваются по балансовой стоимости, и в период между 1-м и 2-м годами не регистрировалась нераспределенная прибыль.</t>
  </si>
  <si>
    <t>Акционерный капитал</t>
  </si>
  <si>
    <r>
      <rPr>
        <b/>
        <u/>
        <sz val="11"/>
        <rFont val="Arial"/>
        <family val="2"/>
      </rPr>
      <t>Прочая д</t>
    </r>
    <r>
      <rPr>
        <b/>
        <u/>
        <sz val="11"/>
        <color rgb="FF002060"/>
        <rFont val="Arial"/>
        <family val="2"/>
      </rPr>
      <t>ебиторская задолженность</t>
    </r>
  </si>
  <si>
    <t>Прочая кредиторская задолженность</t>
  </si>
  <si>
    <t>Финансовые активы в разрезе секторов эмитентов</t>
  </si>
  <si>
    <t>Чистое кредитование и чистое заимствование</t>
  </si>
  <si>
    <t>Всего</t>
  </si>
  <si>
    <t>Чистое кредитование / чистое заимствование</t>
  </si>
  <si>
    <t>Изменение в активах</t>
  </si>
  <si>
    <t>Переоценки</t>
  </si>
  <si>
    <t>Изменение в</t>
  </si>
  <si>
    <t>Депозиты</t>
  </si>
  <si>
    <t>Активы</t>
  </si>
  <si>
    <t>Обязательства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</si>
</sst>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4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rgb="FF002060"/>
      <name val="Arial"/>
      <family val="2"/>
    </font>
    <font>
      <b/>
      <sz val="11"/>
      <color rgb="FF002060"/>
      <name val="Arial"/>
      <family val="2"/>
    </font>
    <font>
      <b/>
      <sz val="10"/>
      <color rgb="FF002060"/>
      <name val="Arial"/>
      <family val="2"/>
    </font>
    <font>
      <b/>
      <u/>
      <sz val="11"/>
      <color rgb="FF002060"/>
      <name val="Arial"/>
      <family val="2"/>
    </font>
    <font>
      <sz val="9"/>
      <color rgb="FF00206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2"/>
      <color theme="1"/>
      <name val="Arial Narrow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Arial"/>
      <family val="2"/>
    </font>
    <font>
      <sz val="12"/>
      <name val="Arial"/>
      <family val="2"/>
    </font>
    <font>
      <sz val="12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b/>
      <sz val="7"/>
      <color theme="1"/>
      <name val="Times New Roman"/>
      <family val="1"/>
    </font>
    <font>
      <b/>
      <sz val="12"/>
      <color rgb="FF0070C0"/>
      <name val="Times New Roman"/>
      <family val="1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rgb="FFFF0000"/>
      <name val="Calibri"/>
      <family val="2"/>
      <scheme val="minor"/>
    </font>
    <font>
      <b/>
      <u/>
      <sz val="11"/>
      <name val="Arial"/>
      <family val="2"/>
    </font>
    <font>
      <b/>
      <u/>
      <sz val="11"/>
      <color theme="3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79">
    <xf numFmtId="0" fontId="0" fillId="0" borderId="0" xfId="0"/>
    <xf numFmtId="0" fontId="0" fillId="0" borderId="0" xfId="0" applyFill="1"/>
    <xf numFmtId="1" fontId="0" fillId="0" borderId="0" xfId="0" applyNumberFormat="1"/>
    <xf numFmtId="164" fontId="0" fillId="0" borderId="0" xfId="0" applyNumberFormat="1" applyFill="1"/>
    <xf numFmtId="0" fontId="1" fillId="0" borderId="0" xfId="0" applyFont="1"/>
    <xf numFmtId="1" fontId="0" fillId="0" borderId="0" xfId="0" applyNumberFormat="1" applyFill="1"/>
    <xf numFmtId="3" fontId="0" fillId="0" borderId="0" xfId="0" applyNumberFormat="1"/>
    <xf numFmtId="0" fontId="5" fillId="0" borderId="0" xfId="1" applyFont="1" applyFill="1" applyAlignment="1">
      <alignment horizontal="center" wrapText="1"/>
    </xf>
    <xf numFmtId="0" fontId="5" fillId="0" borderId="0" xfId="1" applyFont="1" applyFill="1" applyAlignment="1"/>
    <xf numFmtId="0" fontId="5" fillId="0" borderId="0" xfId="1" applyFont="1" applyFill="1" applyAlignment="1">
      <alignment horizontal="left"/>
    </xf>
    <xf numFmtId="3" fontId="5" fillId="0" borderId="0" xfId="1" applyNumberFormat="1" applyFont="1" applyFill="1" applyBorder="1" applyAlignment="1">
      <alignment horizontal="left" vertical="top"/>
    </xf>
    <xf numFmtId="3" fontId="5" fillId="0" borderId="0" xfId="1" applyNumberFormat="1" applyFont="1" applyFill="1" applyBorder="1" applyAlignment="1">
      <alignment horizontal="center" vertical="top"/>
    </xf>
    <xf numFmtId="3" fontId="4" fillId="0" borderId="0" xfId="1" applyNumberFormat="1" applyFont="1" applyFill="1" applyBorder="1" applyAlignment="1">
      <alignment horizontal="right" vertical="top"/>
    </xf>
    <xf numFmtId="0" fontId="5" fillId="0" borderId="0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center" wrapText="1"/>
    </xf>
    <xf numFmtId="0" fontId="0" fillId="0" borderId="0" xfId="0" applyBorder="1"/>
    <xf numFmtId="3" fontId="7" fillId="0" borderId="0" xfId="1" applyNumberFormat="1" applyFont="1" applyFill="1" applyBorder="1" applyAlignment="1">
      <alignment horizontal="left" vertical="top"/>
    </xf>
    <xf numFmtId="3" fontId="8" fillId="0" borderId="0" xfId="1" applyNumberFormat="1" applyFont="1" applyFill="1" applyBorder="1" applyAlignment="1">
      <alignment horizontal="left" vertical="top"/>
    </xf>
    <xf numFmtId="3" fontId="8" fillId="0" borderId="0" xfId="1" applyNumberFormat="1" applyFont="1" applyFill="1" applyBorder="1" applyAlignment="1">
      <alignment horizontal="center" vertical="top"/>
    </xf>
    <xf numFmtId="0" fontId="0" fillId="0" borderId="0" xfId="0" applyFill="1" applyBorder="1"/>
    <xf numFmtId="3" fontId="0" fillId="0" borderId="0" xfId="0" applyNumberFormat="1" applyBorder="1"/>
    <xf numFmtId="165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 applyFill="1"/>
    <xf numFmtId="0" fontId="6" fillId="0" borderId="0" xfId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0" fillId="3" borderId="0" xfId="0" applyNumberFormat="1" applyFill="1"/>
    <xf numFmtId="0" fontId="0" fillId="5" borderId="0" xfId="0" applyFill="1"/>
    <xf numFmtId="0" fontId="10" fillId="5" borderId="0" xfId="0" applyFont="1" applyFill="1"/>
    <xf numFmtId="0" fontId="16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2" fillId="5" borderId="0" xfId="0" applyFont="1" applyFill="1"/>
    <xf numFmtId="0" fontId="10" fillId="0" borderId="1" xfId="0" applyFont="1" applyFill="1" applyBorder="1"/>
    <xf numFmtId="0" fontId="13" fillId="0" borderId="1" xfId="0" applyFont="1" applyFill="1" applyBorder="1"/>
    <xf numFmtId="0" fontId="0" fillId="0" borderId="1" xfId="0" applyBorder="1"/>
    <xf numFmtId="0" fontId="14" fillId="0" borderId="1" xfId="0" applyFont="1" applyFill="1" applyBorder="1"/>
    <xf numFmtId="0" fontId="1" fillId="0" borderId="1" xfId="0" applyFont="1" applyBorder="1"/>
    <xf numFmtId="0" fontId="0" fillId="0" borderId="1" xfId="0" applyFill="1" applyBorder="1"/>
    <xf numFmtId="0" fontId="10" fillId="0" borderId="1" xfId="0" applyFont="1" applyBorder="1"/>
    <xf numFmtId="0" fontId="13" fillId="0" borderId="1" xfId="0" applyFont="1" applyBorder="1"/>
    <xf numFmtId="0" fontId="11" fillId="0" borderId="1" xfId="0" applyFont="1" applyBorder="1"/>
    <xf numFmtId="0" fontId="10" fillId="0" borderId="2" xfId="0" applyFont="1" applyFill="1" applyBorder="1"/>
    <xf numFmtId="0" fontId="13" fillId="0" borderId="2" xfId="0" applyFont="1" applyFill="1" applyBorder="1"/>
    <xf numFmtId="0" fontId="0" fillId="0" borderId="2" xfId="0" applyBorder="1"/>
    <xf numFmtId="0" fontId="12" fillId="0" borderId="2" xfId="0" applyFont="1" applyFill="1" applyBorder="1"/>
    <xf numFmtId="0" fontId="10" fillId="0" borderId="3" xfId="0" applyFont="1" applyFill="1" applyBorder="1"/>
    <xf numFmtId="0" fontId="13" fillId="0" borderId="3" xfId="0" applyFont="1" applyFill="1" applyBorder="1"/>
    <xf numFmtId="0" fontId="10" fillId="0" borderId="4" xfId="0" applyFont="1" applyFill="1" applyBorder="1"/>
    <xf numFmtId="0" fontId="14" fillId="0" borderId="3" xfId="0" applyFont="1" applyFill="1" applyBorder="1"/>
    <xf numFmtId="0" fontId="0" fillId="0" borderId="4" xfId="0" applyBorder="1"/>
    <xf numFmtId="0" fontId="0" fillId="0" borderId="3" xfId="0" applyBorder="1"/>
    <xf numFmtId="0" fontId="0" fillId="0" borderId="3" xfId="0" applyFill="1" applyBorder="1"/>
    <xf numFmtId="0" fontId="1" fillId="0" borderId="3" xfId="0" applyFont="1" applyFill="1" applyBorder="1"/>
    <xf numFmtId="0" fontId="1" fillId="0" borderId="4" xfId="0" applyFont="1" applyBorder="1"/>
    <xf numFmtId="0" fontId="10" fillId="0" borderId="5" xfId="0" applyFont="1" applyFill="1" applyBorder="1"/>
    <xf numFmtId="0" fontId="10" fillId="0" borderId="6" xfId="0" applyFont="1" applyFill="1" applyBorder="1"/>
    <xf numFmtId="0" fontId="1" fillId="0" borderId="6" xfId="0" applyFont="1" applyFill="1" applyBorder="1"/>
    <xf numFmtId="0" fontId="13" fillId="0" borderId="6" xfId="0" applyFont="1" applyFill="1" applyBorder="1"/>
    <xf numFmtId="0" fontId="0" fillId="0" borderId="6" xfId="0" applyBorder="1"/>
    <xf numFmtId="0" fontId="0" fillId="0" borderId="5" xfId="0" applyBorder="1"/>
    <xf numFmtId="0" fontId="1" fillId="0" borderId="6" xfId="0" applyFont="1" applyBorder="1"/>
    <xf numFmtId="0" fontId="10" fillId="0" borderId="6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10" borderId="1" xfId="0" applyFill="1" applyBorder="1"/>
    <xf numFmtId="0" fontId="17" fillId="2" borderId="1" xfId="0" applyFont="1" applyFill="1" applyBorder="1"/>
    <xf numFmtId="0" fontId="2" fillId="10" borderId="1" xfId="0" applyFont="1" applyFill="1" applyBorder="1"/>
    <xf numFmtId="0" fontId="15" fillId="2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22" fillId="5" borderId="0" xfId="0" applyFont="1" applyFill="1"/>
    <xf numFmtId="0" fontId="22" fillId="2" borderId="1" xfId="0" applyFont="1" applyFill="1" applyBorder="1"/>
    <xf numFmtId="0" fontId="23" fillId="2" borderId="1" xfId="0" applyFont="1" applyFill="1" applyBorder="1"/>
    <xf numFmtId="0" fontId="22" fillId="0" borderId="1" xfId="0" applyFont="1" applyBorder="1"/>
    <xf numFmtId="0" fontId="22" fillId="5" borderId="0" xfId="0" applyFont="1" applyFill="1" applyBorder="1"/>
    <xf numFmtId="0" fontId="22" fillId="5" borderId="0" xfId="0" applyFont="1" applyFill="1" applyAlignment="1">
      <alignment vertical="center"/>
    </xf>
    <xf numFmtId="0" fontId="22" fillId="0" borderId="0" xfId="0" applyFont="1"/>
    <xf numFmtId="0" fontId="26" fillId="0" borderId="1" xfId="0" applyFont="1" applyFill="1" applyBorder="1"/>
    <xf numFmtId="0" fontId="22" fillId="0" borderId="1" xfId="0" applyFont="1" applyFill="1" applyBorder="1"/>
    <xf numFmtId="0" fontId="26" fillId="3" borderId="1" xfId="0" applyFont="1" applyFill="1" applyBorder="1"/>
    <xf numFmtId="0" fontId="22" fillId="0" borderId="2" xfId="0" applyFont="1" applyBorder="1"/>
    <xf numFmtId="0" fontId="27" fillId="0" borderId="1" xfId="0" applyFont="1" applyBorder="1"/>
    <xf numFmtId="0" fontId="28" fillId="0" borderId="1" xfId="0" applyFont="1" applyBorder="1"/>
    <xf numFmtId="0" fontId="22" fillId="0" borderId="2" xfId="0" applyFont="1" applyFill="1" applyBorder="1"/>
    <xf numFmtId="0" fontId="22" fillId="11" borderId="7" xfId="0" applyFont="1" applyFill="1" applyBorder="1"/>
    <xf numFmtId="0" fontId="22" fillId="11" borderId="8" xfId="0" applyFont="1" applyFill="1" applyBorder="1"/>
    <xf numFmtId="0" fontId="22" fillId="11" borderId="3" xfId="0" applyFont="1" applyFill="1" applyBorder="1"/>
    <xf numFmtId="0" fontId="24" fillId="11" borderId="3" xfId="0" applyFont="1" applyFill="1" applyBorder="1"/>
    <xf numFmtId="0" fontId="22" fillId="11" borderId="4" xfId="0" applyFont="1" applyFill="1" applyBorder="1"/>
    <xf numFmtId="0" fontId="22" fillId="11" borderId="1" xfId="0" applyFont="1" applyFill="1" applyBorder="1"/>
    <xf numFmtId="0" fontId="22" fillId="7" borderId="1" xfId="0" applyFont="1" applyFill="1" applyBorder="1"/>
    <xf numFmtId="0" fontId="22" fillId="7" borderId="3" xfId="0" applyFont="1" applyFill="1" applyBorder="1"/>
    <xf numFmtId="0" fontId="26" fillId="0" borderId="2" xfId="0" applyFont="1" applyFill="1" applyBorder="1"/>
    <xf numFmtId="0" fontId="25" fillId="0" borderId="1" xfId="0" applyFont="1" applyFill="1" applyBorder="1"/>
    <xf numFmtId="0" fontId="0" fillId="0" borderId="0" xfId="0" applyAlignment="1">
      <alignment horizontal="left" vertical="top"/>
    </xf>
    <xf numFmtId="0" fontId="21" fillId="0" borderId="0" xfId="0" applyFont="1" applyAlignment="1">
      <alignment horizontal="left" vertical="top"/>
    </xf>
    <xf numFmtId="0" fontId="0" fillId="0" borderId="0" xfId="0" applyFont="1"/>
    <xf numFmtId="0" fontId="21" fillId="0" borderId="0" xfId="0" applyFont="1" applyAlignment="1">
      <alignment horizontal="left" vertical="center"/>
    </xf>
    <xf numFmtId="0" fontId="31" fillId="0" borderId="0" xfId="0" applyFont="1" applyAlignment="1">
      <alignment horizontal="left" vertical="top"/>
    </xf>
    <xf numFmtId="0" fontId="30" fillId="0" borderId="0" xfId="0" applyFont="1" applyAlignment="1">
      <alignment vertical="center"/>
    </xf>
    <xf numFmtId="0" fontId="30" fillId="0" borderId="0" xfId="0" applyFont="1" applyAlignment="1">
      <alignment vertical="top"/>
    </xf>
    <xf numFmtId="0" fontId="30" fillId="0" borderId="0" xfId="0" applyFont="1" applyAlignment="1">
      <alignment horizontal="left" vertical="top" indent="5"/>
    </xf>
    <xf numFmtId="0" fontId="30" fillId="0" borderId="0" xfId="0" applyFont="1" applyAlignment="1">
      <alignment horizontal="left" vertical="top"/>
    </xf>
    <xf numFmtId="0" fontId="32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 indent="4"/>
    </xf>
    <xf numFmtId="0" fontId="30" fillId="0" borderId="0" xfId="0" applyFont="1" applyAlignment="1">
      <alignment horizontal="left" vertical="center" indent="6"/>
    </xf>
    <xf numFmtId="0" fontId="0" fillId="0" borderId="0" xfId="0" applyAlignment="1"/>
    <xf numFmtId="0" fontId="29" fillId="0" borderId="0" xfId="0" applyFont="1" applyAlignment="1">
      <alignment horizontal="left" vertical="center" indent="5"/>
    </xf>
    <xf numFmtId="0" fontId="30" fillId="0" borderId="0" xfId="0" applyFont="1" applyAlignment="1">
      <alignment horizontal="left" vertical="center" indent="5"/>
    </xf>
    <xf numFmtId="0" fontId="29" fillId="0" borderId="0" xfId="0" applyFont="1" applyAlignment="1">
      <alignment horizontal="left" vertical="center" indent="10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0" fillId="0" borderId="0" xfId="0" applyFont="1" applyAlignment="1"/>
    <xf numFmtId="0" fontId="2" fillId="0" borderId="0" xfId="0" applyFont="1"/>
    <xf numFmtId="0" fontId="35" fillId="2" borderId="0" xfId="2" applyFill="1" applyAlignment="1">
      <alignment horizontal="center" vertical="center"/>
    </xf>
    <xf numFmtId="0" fontId="35" fillId="0" borderId="0" xfId="2" applyFill="1" applyAlignment="1">
      <alignment horizontal="left" vertical="center"/>
    </xf>
    <xf numFmtId="0" fontId="35" fillId="0" borderId="0" xfId="2" applyFill="1" applyAlignment="1">
      <alignment horizontal="left" vertical="center" indent="2"/>
    </xf>
    <xf numFmtId="0" fontId="21" fillId="0" borderId="10" xfId="0" applyFont="1" applyBorder="1" applyAlignment="1">
      <alignment horizontal="left" vertical="top"/>
    </xf>
    <xf numFmtId="0" fontId="0" fillId="12" borderId="0" xfId="0" applyFill="1"/>
    <xf numFmtId="0" fontId="0" fillId="13" borderId="0" xfId="0" applyFill="1" applyAlignment="1">
      <alignment horizontal="left"/>
    </xf>
    <xf numFmtId="0" fontId="0" fillId="13" borderId="0" xfId="0" applyFill="1"/>
    <xf numFmtId="0" fontId="0" fillId="14" borderId="0" xfId="0" applyFill="1" applyAlignment="1">
      <alignment horizontal="left"/>
    </xf>
    <xf numFmtId="0" fontId="0" fillId="14" borderId="0" xfId="0" applyFill="1"/>
    <xf numFmtId="1" fontId="23" fillId="0" borderId="1" xfId="0" applyNumberFormat="1" applyFont="1" applyBorder="1"/>
    <xf numFmtId="0" fontId="19" fillId="0" borderId="1" xfId="0" applyFont="1" applyBorder="1"/>
    <xf numFmtId="0" fontId="24" fillId="0" borderId="1" xfId="0" applyFont="1" applyBorder="1" applyAlignment="1">
      <alignment wrapText="1"/>
    </xf>
    <xf numFmtId="1" fontId="22" fillId="7" borderId="1" xfId="0" applyNumberFormat="1" applyFont="1" applyFill="1" applyBorder="1"/>
    <xf numFmtId="3" fontId="9" fillId="0" borderId="0" xfId="1" applyNumberFormat="1" applyFont="1" applyFill="1" applyBorder="1" applyAlignment="1">
      <alignment horizontal="right" vertical="top"/>
    </xf>
    <xf numFmtId="3" fontId="1" fillId="0" borderId="0" xfId="0" applyNumberFormat="1" applyFont="1"/>
    <xf numFmtId="0" fontId="22" fillId="0" borderId="1" xfId="0" applyFont="1" applyBorder="1" applyAlignment="1">
      <alignment wrapText="1"/>
    </xf>
    <xf numFmtId="0" fontId="27" fillId="0" borderId="1" xfId="0" applyFont="1" applyBorder="1" applyAlignment="1">
      <alignment wrapText="1"/>
    </xf>
    <xf numFmtId="0" fontId="24" fillId="0" borderId="0" xfId="0" applyFont="1" applyAlignment="1">
      <alignment wrapText="1"/>
    </xf>
    <xf numFmtId="0" fontId="36" fillId="2" borderId="0" xfId="2" applyFont="1" applyFill="1" applyAlignment="1">
      <alignment horizontal="center" vertical="center"/>
    </xf>
    <xf numFmtId="0" fontId="2" fillId="0" borderId="1" xfId="0" applyFont="1" applyBorder="1" applyAlignment="1">
      <alignment horizontal="center"/>
    </xf>
    <xf numFmtId="3" fontId="7" fillId="0" borderId="0" xfId="1" applyNumberFormat="1" applyFont="1" applyFill="1" applyBorder="1" applyAlignment="1">
      <alignment horizontal="left" vertical="top" wrapText="1"/>
    </xf>
    <xf numFmtId="3" fontId="5" fillId="0" borderId="0" xfId="1" applyNumberFormat="1" applyFont="1" applyFill="1" applyBorder="1" applyAlignment="1">
      <alignment horizontal="left" vertical="top" wrapText="1"/>
    </xf>
    <xf numFmtId="0" fontId="0" fillId="0" borderId="0" xfId="0" applyFill="1" applyAlignment="1">
      <alignment wrapText="1"/>
    </xf>
    <xf numFmtId="0" fontId="37" fillId="0" borderId="0" xfId="0" applyFont="1" applyAlignment="1">
      <alignment horizontal="left" vertical="center" indent="5"/>
    </xf>
    <xf numFmtId="0" fontId="37" fillId="0" borderId="0" xfId="0" applyFont="1" applyAlignment="1">
      <alignment horizontal="left" vertical="center" indent="10"/>
    </xf>
    <xf numFmtId="0" fontId="0" fillId="5" borderId="0" xfId="0" applyFill="1" applyAlignment="1">
      <alignment wrapText="1"/>
    </xf>
    <xf numFmtId="3" fontId="41" fillId="0" borderId="0" xfId="1" applyNumberFormat="1" applyFont="1" applyFill="1" applyBorder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16" fillId="4" borderId="3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39" fillId="9" borderId="0" xfId="0" applyFont="1" applyFill="1" applyAlignment="1">
      <alignment horizontal="center" vertical="center" textRotation="90" wrapText="1"/>
    </xf>
    <xf numFmtId="0" fontId="19" fillId="0" borderId="1" xfId="0" applyFont="1" applyBorder="1" applyAlignment="1">
      <alignment horizontal="center"/>
    </xf>
    <xf numFmtId="0" fontId="20" fillId="6" borderId="0" xfId="0" applyFont="1" applyFill="1" applyAlignment="1">
      <alignment horizontal="center" vertical="center" textRotation="90"/>
    </xf>
    <xf numFmtId="0" fontId="19" fillId="7" borderId="0" xfId="0" applyFont="1" applyFill="1" applyAlignment="1">
      <alignment horizontal="center" vertical="center" textRotation="90" wrapText="1"/>
    </xf>
    <xf numFmtId="0" fontId="20" fillId="8" borderId="0" xfId="0" applyFont="1" applyFill="1" applyAlignment="1">
      <alignment horizontal="center" vertical="center" textRotation="90"/>
    </xf>
    <xf numFmtId="0" fontId="0" fillId="2" borderId="0" xfId="0" applyFill="1"/>
    <xf numFmtId="0" fontId="1" fillId="2" borderId="0" xfId="0" applyFont="1" applyFill="1"/>
    <xf numFmtId="0" fontId="9" fillId="15" borderId="0" xfId="0" applyFont="1" applyFill="1"/>
    <xf numFmtId="0" fontId="0" fillId="15" borderId="0" xfId="0" applyFill="1"/>
    <xf numFmtId="0" fontId="42" fillId="0" borderId="0" xfId="0" applyFont="1"/>
    <xf numFmtId="0" fontId="42" fillId="3" borderId="0" xfId="0" applyFont="1" applyFill="1"/>
    <xf numFmtId="0" fontId="42" fillId="2" borderId="0" xfId="0" applyFont="1" applyFill="1"/>
    <xf numFmtId="0" fontId="42" fillId="15" borderId="0" xfId="0" applyFont="1" applyFill="1"/>
    <xf numFmtId="0" fontId="43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0" fillId="2" borderId="0" xfId="0" applyFont="1" applyFill="1"/>
    <xf numFmtId="0" fontId="13" fillId="2" borderId="0" xfId="0" applyFont="1" applyFill="1"/>
    <xf numFmtId="0" fontId="14" fillId="2" borderId="0" xfId="0" applyFont="1" applyFill="1"/>
    <xf numFmtId="0" fontId="14" fillId="0" borderId="0" xfId="0" applyFont="1"/>
    <xf numFmtId="0" fontId="0" fillId="0" borderId="0" xfId="0" applyAlignment="1">
      <alignment vertical="center" wrapText="1"/>
    </xf>
    <xf numFmtId="0" fontId="10" fillId="0" borderId="0" xfId="0" applyFont="1" applyAlignment="1">
      <alignment wrapText="1"/>
    </xf>
  </cellXfs>
  <cellStyles count="3">
    <cellStyle name="Hyperlink" xfId="2" builtinId="8"/>
    <cellStyle name="Normal" xfId="0" builtinId="0"/>
    <cellStyle name="Title 2" xfId="1" xr:uid="{816F62D1-091A-4824-B5CD-4ADC4774DF9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1419225</xdr:colOff>
      <xdr:row>6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27741CF-ACAD-62E4-ABCA-BCBB56774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09" t="21271" r="81296" b="21271"/>
        <a:stretch>
          <a:fillRect/>
        </a:stretch>
      </xdr:blipFill>
      <xdr:spPr bwMode="auto">
        <a:xfrm>
          <a:off x="0" y="0"/>
          <a:ext cx="141922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29DFF-46AC-4CD4-8108-CE019462C248}">
  <sheetPr>
    <tabColor rgb="FF7030A0"/>
  </sheetPr>
  <dimension ref="A1:B12"/>
  <sheetViews>
    <sheetView workbookViewId="0">
      <selection activeCell="A2" sqref="A2"/>
    </sheetView>
  </sheetViews>
  <sheetFormatPr defaultRowHeight="15" x14ac:dyDescent="0.25"/>
  <cols>
    <col min="1" max="1" width="46.42578125" customWidth="1"/>
    <col min="2" max="2" width="3.7109375" customWidth="1"/>
  </cols>
  <sheetData>
    <row r="1" spans="1:2" ht="21" x14ac:dyDescent="0.25">
      <c r="A1" s="122" t="s">
        <v>49</v>
      </c>
    </row>
    <row r="2" spans="1:2" ht="6" customHeight="1" x14ac:dyDescent="0.25"/>
    <row r="3" spans="1:2" x14ac:dyDescent="0.25">
      <c r="A3" s="120" t="str">
        <f>HYPERLINK("#'Инструкция'!A1","Инструкция")</f>
        <v>Инструкция</v>
      </c>
      <c r="B3" s="123"/>
    </row>
    <row r="4" spans="1:2" x14ac:dyDescent="0.25">
      <c r="A4" s="118" t="s">
        <v>55</v>
      </c>
      <c r="B4" s="124"/>
    </row>
    <row r="5" spans="1:2" x14ac:dyDescent="0.25">
      <c r="A5" s="121" t="str">
        <f>HYPERLINK("#'Шаблон ЧКЗ'!A1","Шаблон Чистого кредитования (заимствования)")</f>
        <v>Шаблон Чистого кредитования (заимствования)</v>
      </c>
      <c r="B5" s="125"/>
    </row>
    <row r="6" spans="1:2" x14ac:dyDescent="0.25">
      <c r="A6" s="121" t="str">
        <f>HYPERLINK("#'От кого к кому'!A1","Шаблон От кого к кому")</f>
        <v>Шаблон От кого к кому</v>
      </c>
      <c r="B6" s="125"/>
    </row>
    <row r="7" spans="1:2" x14ac:dyDescent="0.25">
      <c r="A7" s="118" t="s">
        <v>56</v>
      </c>
      <c r="B7" s="126"/>
    </row>
    <row r="8" spans="1:2" x14ac:dyDescent="0.25">
      <c r="A8" s="121" t="str">
        <f>HYPERLINK("#'NFC_A_L'!A1","Нефинансовые корпорации (NFC_A_L)")</f>
        <v>Нефинансовые корпорации (NFC_A_L)</v>
      </c>
      <c r="B8" s="127"/>
    </row>
    <row r="9" spans="1:2" x14ac:dyDescent="0.25">
      <c r="A9" s="121" t="str">
        <f>HYPERLINK("#'FC_A_L'!A1","Финансовые корпорации (FC_A_L)")</f>
        <v>Финансовые корпорации (FC_A_L)</v>
      </c>
      <c r="B9" s="127"/>
    </row>
    <row r="10" spans="1:2" x14ac:dyDescent="0.25">
      <c r="A10" s="121" t="str">
        <f>HYPERLINK("#'GG_A_L'!A1","Органы госуправления (GG_A_L)")</f>
        <v>Органы госуправления (GG_A_L)</v>
      </c>
      <c r="B10" s="127"/>
    </row>
    <row r="11" spans="1:2" x14ac:dyDescent="0.25">
      <c r="A11" s="121" t="str">
        <f>HYPERLINK("#'HH_A_L'!A1","Домохозяйства и НКОДХ (HH_A_L)")</f>
        <v>Домохозяйства и НКОДХ (HH_A_L)</v>
      </c>
      <c r="B11" s="127"/>
    </row>
    <row r="12" spans="1:2" x14ac:dyDescent="0.25">
      <c r="A12" s="121" t="str">
        <f>HYPERLINK("#'ROW_A_L'!A1","Остальной мир (ROW_A_L)")</f>
        <v>Остальной мир (ROW_A_L)</v>
      </c>
      <c r="B12" s="127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4542D-6515-4CA1-9603-657CE8E560A7}">
  <sheetPr>
    <tabColor rgb="FF00B050"/>
  </sheetPr>
  <dimension ref="B2:S40"/>
  <sheetViews>
    <sheetView topLeftCell="A10" workbookViewId="0">
      <selection activeCell="B41" sqref="B41"/>
    </sheetView>
  </sheetViews>
  <sheetFormatPr defaultRowHeight="15" x14ac:dyDescent="0.25"/>
  <cols>
    <col min="1" max="1" width="3.5703125" customWidth="1"/>
    <col min="2" max="2" width="51.85546875" customWidth="1"/>
    <col min="3" max="4" width="15.5703125" customWidth="1"/>
    <col min="5" max="5" width="3.5703125" customWidth="1"/>
    <col min="6" max="6" width="15.5703125" customWidth="1"/>
  </cols>
  <sheetData>
    <row r="2" spans="2:9" x14ac:dyDescent="0.25">
      <c r="B2" s="8" t="s">
        <v>91</v>
      </c>
      <c r="C2" s="7"/>
      <c r="D2" s="119" t="str">
        <f>HYPERLINK("#Содержание!A1","К содержанию")</f>
        <v>К содержанию</v>
      </c>
    </row>
    <row r="3" spans="2:9" x14ac:dyDescent="0.25">
      <c r="B3" s="8" t="s">
        <v>107</v>
      </c>
      <c r="C3" s="7"/>
      <c r="D3" s="7"/>
    </row>
    <row r="4" spans="2:9" x14ac:dyDescent="0.25">
      <c r="B4" s="9" t="s">
        <v>80</v>
      </c>
      <c r="C4" s="7"/>
      <c r="D4" s="7"/>
    </row>
    <row r="5" spans="2:9" x14ac:dyDescent="0.25">
      <c r="B5" s="9"/>
      <c r="C5" s="7"/>
      <c r="D5" s="24" t="s">
        <v>92</v>
      </c>
      <c r="E5" s="15"/>
      <c r="F5" s="25" t="s">
        <v>93</v>
      </c>
    </row>
    <row r="6" spans="2:9" x14ac:dyDescent="0.25">
      <c r="B6" s="16" t="s">
        <v>86</v>
      </c>
      <c r="C6" s="11" t="s">
        <v>13</v>
      </c>
      <c r="D6" s="23">
        <v>270987.14</v>
      </c>
      <c r="E6" s="1"/>
      <c r="F6" s="23">
        <v>530987.14</v>
      </c>
      <c r="I6" s="6"/>
    </row>
    <row r="7" spans="2:9" x14ac:dyDescent="0.25">
      <c r="D7" s="1"/>
      <c r="E7" s="1"/>
      <c r="F7" s="1"/>
    </row>
    <row r="8" spans="2:9" x14ac:dyDescent="0.25">
      <c r="B8" s="16" t="s">
        <v>48</v>
      </c>
      <c r="C8" s="11" t="s">
        <v>12</v>
      </c>
      <c r="D8" s="12">
        <v>170181.41</v>
      </c>
      <c r="E8" s="1"/>
      <c r="F8" s="12">
        <f>+(F9+F11)</f>
        <v>207181</v>
      </c>
      <c r="I8" s="6"/>
    </row>
    <row r="9" spans="2:9" x14ac:dyDescent="0.25">
      <c r="B9" s="10" t="s">
        <v>81</v>
      </c>
      <c r="C9" s="11" t="s">
        <v>5</v>
      </c>
      <c r="D9" s="12">
        <v>154795.23000000001</v>
      </c>
      <c r="E9" s="1"/>
      <c r="F9" s="12">
        <f>+(F10)</f>
        <v>194795</v>
      </c>
      <c r="I9" s="6"/>
    </row>
    <row r="10" spans="2:9" x14ac:dyDescent="0.25">
      <c r="B10" s="10" t="s">
        <v>76</v>
      </c>
      <c r="C10" s="11" t="s">
        <v>7</v>
      </c>
      <c r="D10" s="12">
        <v>154795.23000000001</v>
      </c>
      <c r="E10" s="5"/>
      <c r="F10" s="23">
        <v>194795</v>
      </c>
      <c r="I10" s="6"/>
    </row>
    <row r="11" spans="2:9" x14ac:dyDescent="0.25">
      <c r="B11" s="10" t="s">
        <v>82</v>
      </c>
      <c r="C11" s="11" t="s">
        <v>10</v>
      </c>
      <c r="D11" s="12">
        <v>15386.18</v>
      </c>
      <c r="E11" s="5"/>
      <c r="F11" s="23">
        <v>12386</v>
      </c>
      <c r="I11" s="6"/>
    </row>
    <row r="12" spans="2:9" x14ac:dyDescent="0.25">
      <c r="D12" s="1"/>
      <c r="E12" s="1"/>
      <c r="F12" s="1"/>
    </row>
    <row r="13" spans="2:9" x14ac:dyDescent="0.25">
      <c r="B13" s="16" t="s">
        <v>41</v>
      </c>
      <c r="C13" s="11" t="s">
        <v>14</v>
      </c>
      <c r="D13" s="12">
        <v>9474.34</v>
      </c>
      <c r="E13" s="1"/>
      <c r="F13" s="12">
        <v>44474.34</v>
      </c>
      <c r="H13" s="6"/>
      <c r="I13" s="6"/>
    </row>
    <row r="14" spans="2:9" x14ac:dyDescent="0.25">
      <c r="B14" s="10" t="s">
        <v>81</v>
      </c>
      <c r="C14" s="11" t="s">
        <v>5</v>
      </c>
      <c r="D14" s="12">
        <v>3675.3</v>
      </c>
      <c r="E14" s="1"/>
      <c r="F14" s="12">
        <v>32675.3</v>
      </c>
      <c r="I14" s="6"/>
    </row>
    <row r="15" spans="2:9" x14ac:dyDescent="0.25">
      <c r="B15" s="10" t="s">
        <v>27</v>
      </c>
      <c r="C15" s="11" t="s">
        <v>6</v>
      </c>
      <c r="D15" s="12">
        <v>0</v>
      </c>
      <c r="E15" s="5"/>
      <c r="F15" s="23">
        <v>11000</v>
      </c>
      <c r="I15" s="6"/>
    </row>
    <row r="16" spans="2:9" x14ac:dyDescent="0.25">
      <c r="B16" s="10" t="s">
        <v>76</v>
      </c>
      <c r="C16" s="11" t="s">
        <v>7</v>
      </c>
      <c r="D16" s="12">
        <v>973</v>
      </c>
      <c r="E16" s="5"/>
      <c r="F16" s="23">
        <v>1973</v>
      </c>
      <c r="I16" s="6"/>
    </row>
    <row r="17" spans="2:19" x14ac:dyDescent="0.25">
      <c r="B17" s="10" t="s">
        <v>77</v>
      </c>
      <c r="C17" s="11" t="s">
        <v>8</v>
      </c>
      <c r="D17" s="12">
        <v>2702.3</v>
      </c>
      <c r="E17" s="5"/>
      <c r="F17" s="23">
        <v>19702.3</v>
      </c>
      <c r="I17" s="6"/>
    </row>
    <row r="18" spans="2:19" x14ac:dyDescent="0.25">
      <c r="B18" s="10" t="s">
        <v>82</v>
      </c>
      <c r="C18" s="11" t="s">
        <v>10</v>
      </c>
      <c r="D18" s="12">
        <v>5799.04</v>
      </c>
      <c r="E18" s="5"/>
      <c r="F18" s="23">
        <v>11799.04</v>
      </c>
      <c r="I18" s="6"/>
    </row>
    <row r="19" spans="2:19" x14ac:dyDescent="0.25">
      <c r="D19" s="1"/>
      <c r="E19" s="1"/>
      <c r="F19" s="1"/>
    </row>
    <row r="20" spans="2:19" ht="30" x14ac:dyDescent="0.25">
      <c r="B20" s="139" t="s">
        <v>83</v>
      </c>
      <c r="C20" s="11" t="s">
        <v>16</v>
      </c>
      <c r="D20" s="12">
        <v>66336.39</v>
      </c>
      <c r="E20" s="1"/>
      <c r="F20" s="12">
        <v>144336.38999999998</v>
      </c>
      <c r="I20" s="6"/>
    </row>
    <row r="21" spans="2:19" x14ac:dyDescent="0.25">
      <c r="B21" s="140" t="s">
        <v>81</v>
      </c>
      <c r="C21" s="11" t="s">
        <v>5</v>
      </c>
      <c r="D21" s="12">
        <v>65340.46</v>
      </c>
      <c r="E21" s="1"/>
      <c r="F21" s="12">
        <v>142340.46</v>
      </c>
      <c r="I21" s="6"/>
    </row>
    <row r="22" spans="2:19" x14ac:dyDescent="0.25">
      <c r="B22" s="140" t="s">
        <v>27</v>
      </c>
      <c r="C22" s="11" t="s">
        <v>6</v>
      </c>
      <c r="D22" s="12">
        <v>56055.17</v>
      </c>
      <c r="E22" s="5"/>
      <c r="F22" s="23">
        <v>144514</v>
      </c>
      <c r="I22" s="6"/>
      <c r="K22" s="6"/>
      <c r="R22" s="6"/>
    </row>
    <row r="23" spans="2:19" x14ac:dyDescent="0.25">
      <c r="B23" s="140" t="s">
        <v>76</v>
      </c>
      <c r="C23" s="11" t="s">
        <v>7</v>
      </c>
      <c r="D23" s="12">
        <v>9285.2900000000009</v>
      </c>
      <c r="E23" s="5"/>
      <c r="F23" s="23">
        <v>20446</v>
      </c>
      <c r="I23" s="6"/>
    </row>
    <row r="24" spans="2:19" x14ac:dyDescent="0.25">
      <c r="B24" s="140" t="s">
        <v>82</v>
      </c>
      <c r="C24" s="11" t="s">
        <v>10</v>
      </c>
      <c r="D24" s="12">
        <v>995.93</v>
      </c>
      <c r="E24" s="5"/>
      <c r="F24" s="23">
        <v>1995.9299999999998</v>
      </c>
      <c r="I24" s="6"/>
      <c r="K24" s="6"/>
      <c r="R24" s="6"/>
    </row>
    <row r="25" spans="2:19" x14ac:dyDescent="0.25">
      <c r="B25" s="22"/>
      <c r="D25" s="1"/>
      <c r="E25" s="1"/>
      <c r="F25" s="1"/>
    </row>
    <row r="26" spans="2:19" ht="30" x14ac:dyDescent="0.25">
      <c r="B26" s="139" t="s">
        <v>84</v>
      </c>
      <c r="C26" s="11" t="s">
        <v>17</v>
      </c>
      <c r="D26" s="12">
        <v>11978.46</v>
      </c>
      <c r="E26" s="1"/>
      <c r="F26" s="23">
        <v>50978.46</v>
      </c>
      <c r="I26" s="6"/>
    </row>
    <row r="27" spans="2:19" x14ac:dyDescent="0.25">
      <c r="B27" s="22"/>
      <c r="C27" s="11"/>
      <c r="D27" s="12"/>
      <c r="E27" s="1"/>
      <c r="F27" s="23"/>
    </row>
    <row r="28" spans="2:19" ht="30" x14ac:dyDescent="0.25">
      <c r="B28" s="139" t="s">
        <v>45</v>
      </c>
      <c r="C28" s="11" t="s">
        <v>18</v>
      </c>
      <c r="D28" s="12">
        <v>0</v>
      </c>
      <c r="E28" s="1"/>
      <c r="F28" s="23">
        <v>3000</v>
      </c>
      <c r="I28" s="6"/>
      <c r="L28" s="6"/>
      <c r="S28" s="6"/>
    </row>
    <row r="29" spans="2:19" x14ac:dyDescent="0.25">
      <c r="B29" s="22"/>
      <c r="C29" s="11"/>
      <c r="D29" s="12"/>
      <c r="E29" s="1"/>
      <c r="F29" s="23"/>
    </row>
    <row r="30" spans="2:19" x14ac:dyDescent="0.25">
      <c r="B30" s="139" t="s">
        <v>42</v>
      </c>
      <c r="C30" s="11" t="s">
        <v>19</v>
      </c>
      <c r="D30" s="12">
        <v>13016.54</v>
      </c>
      <c r="E30" s="1"/>
      <c r="F30" s="23">
        <v>13017</v>
      </c>
      <c r="I30" s="6"/>
    </row>
    <row r="31" spans="2:19" x14ac:dyDescent="0.25">
      <c r="D31" s="1"/>
      <c r="E31" s="1"/>
      <c r="F31" s="1"/>
    </row>
    <row r="32" spans="2:19" x14ac:dyDescent="0.25">
      <c r="D32" s="24" t="s">
        <v>92</v>
      </c>
      <c r="E32" s="15"/>
      <c r="F32" s="25" t="s">
        <v>93</v>
      </c>
    </row>
    <row r="33" spans="2:9" x14ac:dyDescent="0.25">
      <c r="B33" s="16" t="s">
        <v>85</v>
      </c>
      <c r="C33" s="11" t="s">
        <v>13</v>
      </c>
      <c r="D33" s="23">
        <v>125475.83</v>
      </c>
      <c r="E33" s="1"/>
      <c r="F33" s="23">
        <v>150475.83000000002</v>
      </c>
      <c r="I33" s="6"/>
    </row>
    <row r="34" spans="2:9" x14ac:dyDescent="0.25">
      <c r="D34" s="1"/>
      <c r="E34" s="1"/>
      <c r="F34" s="1"/>
    </row>
    <row r="35" spans="2:9" x14ac:dyDescent="0.25">
      <c r="B35" s="16" t="s">
        <v>40</v>
      </c>
      <c r="C35" s="11" t="s">
        <v>15</v>
      </c>
      <c r="D35" s="12">
        <v>117570.29000000001</v>
      </c>
      <c r="E35" s="1"/>
      <c r="F35" s="12">
        <v>138570.29</v>
      </c>
      <c r="I35" s="6"/>
    </row>
    <row r="36" spans="2:9" x14ac:dyDescent="0.25">
      <c r="B36" s="10" t="s">
        <v>81</v>
      </c>
      <c r="C36" s="11" t="s">
        <v>5</v>
      </c>
      <c r="D36" s="12">
        <v>117570.29000000001</v>
      </c>
      <c r="E36" s="1"/>
      <c r="F36" s="12">
        <v>138570.29</v>
      </c>
      <c r="I36" s="6"/>
    </row>
    <row r="37" spans="2:9" x14ac:dyDescent="0.25">
      <c r="B37" s="10" t="s">
        <v>76</v>
      </c>
      <c r="C37" s="11" t="s">
        <v>7</v>
      </c>
      <c r="D37" s="12">
        <v>116906.29000000001</v>
      </c>
      <c r="E37" s="5"/>
      <c r="F37" s="23">
        <v>136906.29</v>
      </c>
      <c r="I37" s="6"/>
    </row>
    <row r="38" spans="2:9" x14ac:dyDescent="0.25">
      <c r="B38" s="10" t="s">
        <v>77</v>
      </c>
      <c r="C38" s="11" t="s">
        <v>8</v>
      </c>
      <c r="D38" s="12">
        <v>664</v>
      </c>
      <c r="E38" s="5"/>
      <c r="F38" s="23">
        <v>1664</v>
      </c>
      <c r="I38" s="6"/>
    </row>
    <row r="39" spans="2:9" x14ac:dyDescent="0.25">
      <c r="D39" s="1"/>
      <c r="E39" s="1"/>
      <c r="F39" s="1"/>
    </row>
    <row r="40" spans="2:9" x14ac:dyDescent="0.25">
      <c r="B40" s="16" t="s">
        <v>106</v>
      </c>
      <c r="C40" s="11" t="s">
        <v>19</v>
      </c>
      <c r="D40" s="12">
        <v>7905.54</v>
      </c>
      <c r="F40" s="6">
        <v>11905.54</v>
      </c>
      <c r="I40" s="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54676-F89C-4023-8FB9-904922F83DF9}">
  <sheetPr>
    <tabColor rgb="FF00B050"/>
  </sheetPr>
  <dimension ref="B2:R72"/>
  <sheetViews>
    <sheetView topLeftCell="A42" workbookViewId="0">
      <selection activeCell="B73" sqref="B73"/>
    </sheetView>
  </sheetViews>
  <sheetFormatPr defaultRowHeight="15" x14ac:dyDescent="0.25"/>
  <cols>
    <col min="1" max="1" width="3.5703125" customWidth="1"/>
    <col min="2" max="2" width="52" customWidth="1"/>
    <col min="3" max="4" width="15.5703125" customWidth="1"/>
    <col min="5" max="5" width="3.5703125" customWidth="1"/>
    <col min="6" max="6" width="15.5703125" customWidth="1"/>
  </cols>
  <sheetData>
    <row r="2" spans="2:9" x14ac:dyDescent="0.25">
      <c r="B2" s="9" t="s">
        <v>94</v>
      </c>
      <c r="D2" s="119" t="str">
        <f>HYPERLINK("#Содержание!A1","К содержанию")</f>
        <v>К содержанию</v>
      </c>
    </row>
    <row r="3" spans="2:9" x14ac:dyDescent="0.25">
      <c r="B3" s="8" t="s">
        <v>107</v>
      </c>
    </row>
    <row r="4" spans="2:9" x14ac:dyDescent="0.25">
      <c r="B4" s="9" t="s">
        <v>80</v>
      </c>
    </row>
    <row r="5" spans="2:9" x14ac:dyDescent="0.25">
      <c r="D5" s="24" t="s">
        <v>92</v>
      </c>
      <c r="E5" s="15"/>
      <c r="F5" s="25" t="s">
        <v>93</v>
      </c>
    </row>
    <row r="6" spans="2:9" x14ac:dyDescent="0.25">
      <c r="B6" s="16" t="s">
        <v>86</v>
      </c>
      <c r="C6" s="11" t="s">
        <v>13</v>
      </c>
      <c r="D6" s="6">
        <v>472307.60999999993</v>
      </c>
      <c r="F6" s="6">
        <v>509307.60999999993</v>
      </c>
    </row>
    <row r="7" spans="2:9" x14ac:dyDescent="0.25">
      <c r="B7" s="9"/>
      <c r="C7" s="11"/>
      <c r="D7" s="6"/>
    </row>
    <row r="8" spans="2:9" x14ac:dyDescent="0.25">
      <c r="B8" s="16" t="s">
        <v>47</v>
      </c>
      <c r="C8" s="11" t="s">
        <v>20</v>
      </c>
      <c r="D8" s="6">
        <v>0</v>
      </c>
      <c r="F8">
        <v>1000</v>
      </c>
    </row>
    <row r="10" spans="2:9" x14ac:dyDescent="0.25">
      <c r="B10" s="16" t="s">
        <v>48</v>
      </c>
      <c r="C10" s="11" t="s">
        <v>12</v>
      </c>
      <c r="D10" s="12">
        <v>131312.38</v>
      </c>
      <c r="E10" s="1"/>
      <c r="F10" s="12">
        <v>140312.38</v>
      </c>
      <c r="I10" s="6"/>
    </row>
    <row r="11" spans="2:9" x14ac:dyDescent="0.25">
      <c r="B11" s="10" t="s">
        <v>81</v>
      </c>
      <c r="C11" s="11" t="s">
        <v>5</v>
      </c>
      <c r="D11" s="12">
        <v>131312.38</v>
      </c>
      <c r="E11" s="1"/>
      <c r="F11" s="12">
        <v>140312.38</v>
      </c>
      <c r="I11" s="6"/>
    </row>
    <row r="12" spans="2:9" x14ac:dyDescent="0.25">
      <c r="B12" s="10" t="s">
        <v>76</v>
      </c>
      <c r="C12" s="11" t="s">
        <v>7</v>
      </c>
      <c r="D12" s="12">
        <v>131243.38</v>
      </c>
      <c r="E12" s="1"/>
      <c r="F12" s="12">
        <v>140243.38</v>
      </c>
      <c r="I12" s="6"/>
    </row>
    <row r="13" spans="2:9" x14ac:dyDescent="0.25">
      <c r="B13" s="10" t="s">
        <v>77</v>
      </c>
      <c r="C13" s="11" t="s">
        <v>8</v>
      </c>
      <c r="D13" s="12">
        <v>69</v>
      </c>
      <c r="E13" s="1"/>
      <c r="F13" s="12">
        <v>69</v>
      </c>
      <c r="I13" s="6"/>
    </row>
    <row r="14" spans="2:9" x14ac:dyDescent="0.25">
      <c r="B14" s="1"/>
      <c r="C14" s="1"/>
      <c r="D14" s="1"/>
      <c r="E14" s="1"/>
      <c r="F14" s="1"/>
    </row>
    <row r="15" spans="2:9" x14ac:dyDescent="0.25">
      <c r="B15" s="16" t="s">
        <v>41</v>
      </c>
      <c r="C15" s="11" t="s">
        <v>14</v>
      </c>
      <c r="D15" s="12">
        <v>45158</v>
      </c>
      <c r="E15" s="1"/>
      <c r="F15" s="12">
        <v>56158</v>
      </c>
    </row>
    <row r="16" spans="2:9" x14ac:dyDescent="0.25">
      <c r="B16" s="10" t="s">
        <v>81</v>
      </c>
      <c r="C16" s="11" t="s">
        <v>5</v>
      </c>
      <c r="D16" s="12">
        <v>45158</v>
      </c>
      <c r="E16" s="1"/>
      <c r="F16" s="12">
        <v>56158</v>
      </c>
    </row>
    <row r="17" spans="2:17" x14ac:dyDescent="0.25">
      <c r="B17" s="10" t="s">
        <v>27</v>
      </c>
      <c r="C17" s="11" t="s">
        <v>6</v>
      </c>
      <c r="D17" s="12">
        <v>2600</v>
      </c>
      <c r="E17" s="5"/>
      <c r="F17" s="12">
        <v>3600</v>
      </c>
    </row>
    <row r="18" spans="2:17" x14ac:dyDescent="0.25">
      <c r="B18" s="10" t="s">
        <v>77</v>
      </c>
      <c r="C18" s="11" t="s">
        <v>8</v>
      </c>
      <c r="D18" s="12">
        <v>42558</v>
      </c>
      <c r="E18" s="5"/>
      <c r="F18" s="12">
        <v>52558</v>
      </c>
    </row>
    <row r="19" spans="2:17" x14ac:dyDescent="0.25">
      <c r="B19" s="1"/>
      <c r="C19" s="1"/>
      <c r="D19" s="1"/>
      <c r="E19" s="1"/>
      <c r="F19" s="1"/>
    </row>
    <row r="20" spans="2:17" x14ac:dyDescent="0.25">
      <c r="B20" s="16" t="s">
        <v>40</v>
      </c>
      <c r="C20" s="11" t="s">
        <v>15</v>
      </c>
      <c r="D20" s="12">
        <v>245903.46999999997</v>
      </c>
      <c r="E20" s="1"/>
      <c r="F20" s="12">
        <v>249903.46999999997</v>
      </c>
    </row>
    <row r="21" spans="2:17" x14ac:dyDescent="0.25">
      <c r="B21" s="10" t="s">
        <v>81</v>
      </c>
      <c r="C21" s="11" t="s">
        <v>5</v>
      </c>
      <c r="D21" s="12">
        <v>245903.46999999997</v>
      </c>
      <c r="E21" s="1"/>
      <c r="F21" s="12">
        <v>249903.46999999997</v>
      </c>
      <c r="I21" s="6"/>
    </row>
    <row r="22" spans="2:17" x14ac:dyDescent="0.25">
      <c r="B22" s="10" t="s">
        <v>27</v>
      </c>
      <c r="C22" s="11" t="s">
        <v>6</v>
      </c>
      <c r="D22" s="12">
        <v>14764</v>
      </c>
      <c r="E22" s="5"/>
      <c r="F22" s="12">
        <v>16764</v>
      </c>
      <c r="I22" s="6"/>
    </row>
    <row r="23" spans="2:17" x14ac:dyDescent="0.25">
      <c r="B23" s="10" t="s">
        <v>76</v>
      </c>
      <c r="C23" s="11" t="s">
        <v>7</v>
      </c>
      <c r="D23" s="12">
        <v>2529.36</v>
      </c>
      <c r="E23" s="5"/>
      <c r="F23" s="12">
        <v>2529.36</v>
      </c>
      <c r="I23" s="6"/>
    </row>
    <row r="24" spans="2:17" x14ac:dyDescent="0.25">
      <c r="B24" s="10" t="s">
        <v>77</v>
      </c>
      <c r="C24" s="11" t="s">
        <v>8</v>
      </c>
      <c r="D24" s="12">
        <v>228610.11</v>
      </c>
      <c r="E24" s="5"/>
      <c r="F24" s="12">
        <v>230610.11</v>
      </c>
      <c r="I24" s="6"/>
    </row>
    <row r="25" spans="2:17" x14ac:dyDescent="0.25">
      <c r="B25" s="1"/>
      <c r="C25" s="1"/>
      <c r="D25" s="1"/>
      <c r="E25" s="1"/>
      <c r="F25" s="1"/>
    </row>
    <row r="26" spans="2:17" ht="30" x14ac:dyDescent="0.25">
      <c r="B26" s="139" t="s">
        <v>83</v>
      </c>
      <c r="C26" s="11" t="s">
        <v>16</v>
      </c>
      <c r="D26" s="12">
        <v>32482.01</v>
      </c>
      <c r="E26" s="1"/>
      <c r="F26" s="12">
        <v>34482.01</v>
      </c>
    </row>
    <row r="27" spans="2:17" x14ac:dyDescent="0.25">
      <c r="B27" s="140" t="s">
        <v>81</v>
      </c>
      <c r="C27" s="11" t="s">
        <v>5</v>
      </c>
      <c r="D27" s="12">
        <v>32482.01</v>
      </c>
      <c r="E27" s="1"/>
      <c r="F27" s="12">
        <v>34482.01</v>
      </c>
    </row>
    <row r="28" spans="2:17" x14ac:dyDescent="0.25">
      <c r="B28" s="140" t="s">
        <v>27</v>
      </c>
      <c r="C28" s="11" t="s">
        <v>6</v>
      </c>
      <c r="D28" s="12">
        <v>29705.66</v>
      </c>
      <c r="E28" s="5"/>
      <c r="F28" s="12">
        <v>39354</v>
      </c>
      <c r="I28" s="6"/>
      <c r="K28" s="6"/>
      <c r="Q28" s="6"/>
    </row>
    <row r="29" spans="2:17" x14ac:dyDescent="0.25">
      <c r="B29" s="140" t="s">
        <v>76</v>
      </c>
      <c r="C29" s="11" t="s">
        <v>7</v>
      </c>
      <c r="D29" s="12">
        <v>2776.35</v>
      </c>
      <c r="E29" s="5"/>
      <c r="F29" s="12">
        <v>3123</v>
      </c>
    </row>
    <row r="30" spans="2:17" x14ac:dyDescent="0.25">
      <c r="B30" s="141"/>
      <c r="C30" s="1"/>
      <c r="D30" s="1"/>
      <c r="E30" s="1"/>
      <c r="F30" s="1"/>
      <c r="K30" s="6"/>
      <c r="Q30" s="6"/>
    </row>
    <row r="31" spans="2:17" ht="30" x14ac:dyDescent="0.25">
      <c r="B31" s="139" t="s">
        <v>84</v>
      </c>
      <c r="C31" s="11" t="s">
        <v>17</v>
      </c>
      <c r="D31" s="12">
        <v>172.62</v>
      </c>
      <c r="E31" s="1"/>
      <c r="F31" s="12">
        <v>172.62</v>
      </c>
    </row>
    <row r="32" spans="2:17" x14ac:dyDescent="0.25">
      <c r="B32" s="139"/>
      <c r="C32" s="11"/>
      <c r="D32" s="12"/>
      <c r="E32" s="1"/>
      <c r="F32" s="12"/>
    </row>
    <row r="33" spans="2:18" ht="30" x14ac:dyDescent="0.25">
      <c r="B33" s="139" t="s">
        <v>45</v>
      </c>
      <c r="C33" s="11" t="s">
        <v>18</v>
      </c>
      <c r="D33" s="12">
        <v>7048.22</v>
      </c>
      <c r="E33" s="1"/>
      <c r="F33" s="12">
        <v>7048.22</v>
      </c>
    </row>
    <row r="34" spans="2:18" x14ac:dyDescent="0.25">
      <c r="B34" s="139"/>
      <c r="C34" s="11"/>
      <c r="D34" s="12"/>
      <c r="E34" s="1"/>
      <c r="F34" s="1"/>
      <c r="L34" s="6"/>
      <c r="R34" s="6"/>
    </row>
    <row r="35" spans="2:18" x14ac:dyDescent="0.25">
      <c r="B35" s="139" t="s">
        <v>42</v>
      </c>
      <c r="C35" s="11" t="s">
        <v>19</v>
      </c>
      <c r="D35" s="12">
        <v>10230.91</v>
      </c>
      <c r="E35" s="1"/>
      <c r="F35" s="12">
        <v>20230.91</v>
      </c>
    </row>
    <row r="36" spans="2:18" x14ac:dyDescent="0.25">
      <c r="B36" s="1"/>
      <c r="C36" s="1"/>
      <c r="D36" s="1"/>
      <c r="E36" s="1"/>
      <c r="F36" s="1"/>
    </row>
    <row r="37" spans="2:18" x14ac:dyDescent="0.25">
      <c r="B37" s="1"/>
      <c r="C37" s="1"/>
      <c r="D37" s="24" t="s">
        <v>92</v>
      </c>
      <c r="E37" s="15"/>
      <c r="F37" s="25" t="s">
        <v>93</v>
      </c>
    </row>
    <row r="38" spans="2:18" x14ac:dyDescent="0.25">
      <c r="B38" s="16" t="s">
        <v>85</v>
      </c>
      <c r="C38" s="11" t="s">
        <v>13</v>
      </c>
      <c r="D38" s="23">
        <v>251085.49</v>
      </c>
      <c r="E38" s="1"/>
      <c r="F38" s="23">
        <v>318085.49</v>
      </c>
    </row>
    <row r="39" spans="2:18" x14ac:dyDescent="0.25">
      <c r="C39" s="1"/>
      <c r="D39" s="1"/>
      <c r="E39" s="1"/>
      <c r="F39" s="1"/>
    </row>
    <row r="40" spans="2:18" x14ac:dyDescent="0.25">
      <c r="B40" s="16" t="s">
        <v>47</v>
      </c>
      <c r="C40" s="11" t="s">
        <v>20</v>
      </c>
      <c r="D40" s="12">
        <v>4031</v>
      </c>
      <c r="E40" s="1"/>
      <c r="F40" s="12">
        <v>4031</v>
      </c>
    </row>
    <row r="41" spans="2:18" x14ac:dyDescent="0.25">
      <c r="B41" s="16"/>
      <c r="C41" s="12" t="s">
        <v>4</v>
      </c>
      <c r="D41" s="1"/>
      <c r="E41" s="1"/>
      <c r="F41" s="1"/>
    </row>
    <row r="42" spans="2:18" x14ac:dyDescent="0.25">
      <c r="B42" s="16" t="s">
        <v>48</v>
      </c>
      <c r="C42" s="11" t="s">
        <v>12</v>
      </c>
      <c r="D42" s="12">
        <v>88433</v>
      </c>
      <c r="E42" s="1"/>
      <c r="F42" s="12">
        <v>86433</v>
      </c>
      <c r="I42" s="6"/>
    </row>
    <row r="43" spans="2:18" x14ac:dyDescent="0.25">
      <c r="B43" s="10" t="s">
        <v>81</v>
      </c>
      <c r="C43" s="11" t="s">
        <v>5</v>
      </c>
      <c r="D43" s="12">
        <v>88433</v>
      </c>
      <c r="E43" s="1"/>
      <c r="F43" s="12">
        <v>86433</v>
      </c>
      <c r="I43" s="6"/>
    </row>
    <row r="44" spans="2:18" x14ac:dyDescent="0.25">
      <c r="B44" s="10" t="s">
        <v>27</v>
      </c>
      <c r="C44" s="11" t="s">
        <v>6</v>
      </c>
      <c r="D44" s="12">
        <v>40924.629999999997</v>
      </c>
      <c r="E44" s="5"/>
      <c r="F44" s="12">
        <v>39924.629999999997</v>
      </c>
      <c r="I44" s="6"/>
    </row>
    <row r="45" spans="2:18" x14ac:dyDescent="0.25">
      <c r="B45" s="10" t="s">
        <v>76</v>
      </c>
      <c r="C45" s="11" t="s">
        <v>7</v>
      </c>
      <c r="D45" s="12">
        <v>32047.43</v>
      </c>
      <c r="E45" s="5"/>
      <c r="F45" s="12">
        <v>31047.43</v>
      </c>
      <c r="I45" s="6"/>
    </row>
    <row r="46" spans="2:18" x14ac:dyDescent="0.25">
      <c r="B46" s="10" t="s">
        <v>77</v>
      </c>
      <c r="C46" s="11" t="s">
        <v>8</v>
      </c>
      <c r="D46" s="12">
        <v>74.760000000000005</v>
      </c>
      <c r="E46" s="5"/>
      <c r="F46" s="12">
        <v>74.760000000000005</v>
      </c>
      <c r="I46" s="6"/>
    </row>
    <row r="47" spans="2:18" x14ac:dyDescent="0.25">
      <c r="B47" s="10" t="s">
        <v>87</v>
      </c>
      <c r="C47" s="11" t="s">
        <v>9</v>
      </c>
      <c r="D47" s="12">
        <v>15386.18</v>
      </c>
      <c r="E47" s="5"/>
      <c r="F47" s="12">
        <v>15386.18</v>
      </c>
      <c r="I47" s="6"/>
    </row>
    <row r="48" spans="2:18" x14ac:dyDescent="0.25">
      <c r="B48" s="1"/>
      <c r="C48" s="1"/>
      <c r="D48" s="1"/>
      <c r="E48" s="1"/>
      <c r="F48" s="1"/>
    </row>
    <row r="49" spans="2:9" x14ac:dyDescent="0.25">
      <c r="B49" s="16" t="s">
        <v>41</v>
      </c>
      <c r="C49" s="11" t="s">
        <v>14</v>
      </c>
      <c r="D49" s="12">
        <v>101469.31999999999</v>
      </c>
      <c r="E49" s="1"/>
      <c r="F49" s="12">
        <v>121469.31999999999</v>
      </c>
    </row>
    <row r="50" spans="2:9" x14ac:dyDescent="0.25">
      <c r="B50" s="10" t="s">
        <v>81</v>
      </c>
      <c r="C50" s="11" t="s">
        <v>5</v>
      </c>
      <c r="D50" s="12">
        <v>101469.31999999999</v>
      </c>
      <c r="E50" s="1"/>
      <c r="F50" s="12">
        <v>121469.31999999999</v>
      </c>
    </row>
    <row r="51" spans="2:9" x14ac:dyDescent="0.25">
      <c r="B51" s="10" t="s">
        <v>27</v>
      </c>
      <c r="C51" s="11" t="s">
        <v>6</v>
      </c>
      <c r="D51" s="12">
        <v>826</v>
      </c>
      <c r="E51" s="5"/>
      <c r="F51" s="12">
        <v>826</v>
      </c>
    </row>
    <row r="52" spans="2:9" x14ac:dyDescent="0.25">
      <c r="B52" s="10" t="s">
        <v>76</v>
      </c>
      <c r="C52" s="11" t="s">
        <v>7</v>
      </c>
      <c r="D52" s="12">
        <v>82817.119999999995</v>
      </c>
      <c r="E52" s="5"/>
      <c r="F52" s="12">
        <v>98817.12</v>
      </c>
    </row>
    <row r="53" spans="2:9" x14ac:dyDescent="0.25">
      <c r="B53" s="10" t="s">
        <v>77</v>
      </c>
      <c r="C53" s="11" t="s">
        <v>8</v>
      </c>
      <c r="D53" s="12">
        <v>12027.16</v>
      </c>
      <c r="E53" s="5"/>
      <c r="F53" s="12">
        <v>15027.16</v>
      </c>
    </row>
    <row r="54" spans="2:9" x14ac:dyDescent="0.25">
      <c r="B54" s="10" t="s">
        <v>87</v>
      </c>
      <c r="C54" s="11" t="s">
        <v>9</v>
      </c>
      <c r="D54" s="12">
        <v>5799.04</v>
      </c>
      <c r="E54" s="5"/>
      <c r="F54" s="12">
        <v>6799.04</v>
      </c>
    </row>
    <row r="55" spans="2:9" x14ac:dyDescent="0.25">
      <c r="B55" s="1"/>
      <c r="C55" s="1"/>
      <c r="D55" s="1"/>
      <c r="E55" s="1"/>
      <c r="F55" s="1"/>
    </row>
    <row r="56" spans="2:9" x14ac:dyDescent="0.25">
      <c r="B56" s="16" t="s">
        <v>40</v>
      </c>
      <c r="C56" s="11" t="s">
        <v>15</v>
      </c>
      <c r="D56" s="12">
        <v>9132.5</v>
      </c>
      <c r="E56" s="1"/>
      <c r="F56" s="12">
        <v>54132.5</v>
      </c>
    </row>
    <row r="57" spans="2:9" x14ac:dyDescent="0.25">
      <c r="B57" s="10" t="s">
        <v>81</v>
      </c>
      <c r="C57" s="11" t="s">
        <v>5</v>
      </c>
      <c r="D57" s="12">
        <v>9132.5</v>
      </c>
      <c r="E57" s="1"/>
      <c r="F57" s="12">
        <v>54132.5</v>
      </c>
    </row>
    <row r="58" spans="2:9" x14ac:dyDescent="0.25">
      <c r="B58" s="10" t="s">
        <v>27</v>
      </c>
      <c r="C58" s="11" t="s">
        <v>6</v>
      </c>
      <c r="D58" s="12">
        <v>3923</v>
      </c>
      <c r="E58" s="5"/>
      <c r="F58" s="12">
        <v>47923</v>
      </c>
      <c r="I58" s="6"/>
    </row>
    <row r="59" spans="2:9" x14ac:dyDescent="0.25">
      <c r="B59" s="10" t="s">
        <v>76</v>
      </c>
      <c r="C59" s="11" t="s">
        <v>7</v>
      </c>
      <c r="D59" s="12">
        <v>5209.5</v>
      </c>
      <c r="E59" s="5"/>
      <c r="F59" s="12">
        <v>6209.5</v>
      </c>
      <c r="I59" s="6"/>
    </row>
    <row r="60" spans="2:9" x14ac:dyDescent="0.25">
      <c r="B60" s="1"/>
      <c r="C60" s="1"/>
      <c r="D60" s="1"/>
      <c r="E60" s="1"/>
      <c r="F60" s="1"/>
    </row>
    <row r="61" spans="2:9" ht="30" x14ac:dyDescent="0.25">
      <c r="B61" s="139" t="s">
        <v>83</v>
      </c>
      <c r="C61" s="11" t="s">
        <v>16</v>
      </c>
      <c r="D61" s="12">
        <v>32924.979999999996</v>
      </c>
      <c r="E61" s="1"/>
      <c r="F61" s="12">
        <v>47924.98</v>
      </c>
    </row>
    <row r="62" spans="2:9" x14ac:dyDescent="0.25">
      <c r="B62" s="140" t="s">
        <v>81</v>
      </c>
      <c r="C62" s="11" t="s">
        <v>5</v>
      </c>
      <c r="D62" s="12">
        <v>32924.979999999996</v>
      </c>
      <c r="E62" s="1"/>
      <c r="F62" s="12">
        <v>47924.98</v>
      </c>
    </row>
    <row r="63" spans="2:9" x14ac:dyDescent="0.25">
      <c r="B63" s="140" t="s">
        <v>27</v>
      </c>
      <c r="C63" s="11" t="s">
        <v>6</v>
      </c>
      <c r="D63" s="12">
        <v>18017</v>
      </c>
      <c r="E63" s="5"/>
      <c r="F63" s="12">
        <v>21017</v>
      </c>
    </row>
    <row r="64" spans="2:9" x14ac:dyDescent="0.25">
      <c r="B64" s="140" t="s">
        <v>76</v>
      </c>
      <c r="C64" s="11" t="s">
        <v>7</v>
      </c>
      <c r="D64" s="12">
        <v>12981.05</v>
      </c>
      <c r="E64" s="5"/>
      <c r="F64" s="12">
        <v>18981.05</v>
      </c>
    </row>
    <row r="65" spans="2:10" x14ac:dyDescent="0.25">
      <c r="B65" s="140" t="s">
        <v>77</v>
      </c>
      <c r="C65" s="11" t="s">
        <v>8</v>
      </c>
      <c r="D65" s="12">
        <v>931</v>
      </c>
      <c r="E65" s="5"/>
      <c r="F65" s="12">
        <v>931</v>
      </c>
    </row>
    <row r="66" spans="2:10" x14ac:dyDescent="0.25">
      <c r="B66" s="140" t="s">
        <v>87</v>
      </c>
      <c r="C66" s="11" t="s">
        <v>9</v>
      </c>
      <c r="D66" s="12">
        <v>995.93</v>
      </c>
      <c r="E66" s="5"/>
      <c r="F66" s="12">
        <v>6995.93</v>
      </c>
    </row>
    <row r="67" spans="2:10" x14ac:dyDescent="0.25">
      <c r="B67" s="141"/>
      <c r="C67" s="1"/>
      <c r="D67" s="1"/>
      <c r="E67" s="1"/>
      <c r="F67" s="1"/>
    </row>
    <row r="68" spans="2:10" ht="30" x14ac:dyDescent="0.25">
      <c r="B68" s="139" t="s">
        <v>84</v>
      </c>
      <c r="C68" s="11" t="s">
        <v>17</v>
      </c>
      <c r="D68" s="12">
        <v>279.77</v>
      </c>
      <c r="E68" s="1"/>
      <c r="F68" s="12">
        <v>279.77</v>
      </c>
    </row>
    <row r="69" spans="2:10" x14ac:dyDescent="0.25">
      <c r="B69" s="141"/>
      <c r="C69" s="11"/>
      <c r="D69" s="12" t="s">
        <v>4</v>
      </c>
      <c r="E69" s="1"/>
      <c r="F69" s="12"/>
      <c r="H69" t="s">
        <v>4</v>
      </c>
    </row>
    <row r="70" spans="2:10" ht="30" x14ac:dyDescent="0.25">
      <c r="B70" s="139" t="s">
        <v>45</v>
      </c>
      <c r="C70" s="11" t="s">
        <v>18</v>
      </c>
      <c r="D70" s="12">
        <v>803.98</v>
      </c>
      <c r="E70" s="1"/>
      <c r="F70" s="12">
        <v>3803.98</v>
      </c>
      <c r="H70">
        <v>803.98</v>
      </c>
      <c r="J70">
        <v>3803.98</v>
      </c>
    </row>
    <row r="71" spans="2:10" x14ac:dyDescent="0.25">
      <c r="B71" s="16"/>
      <c r="C71" s="11"/>
      <c r="D71" s="12" t="s">
        <v>4</v>
      </c>
      <c r="E71" s="1"/>
      <c r="F71" s="12"/>
      <c r="H71" t="s">
        <v>4</v>
      </c>
    </row>
    <row r="72" spans="2:10" x14ac:dyDescent="0.25">
      <c r="B72" s="16" t="s">
        <v>106</v>
      </c>
      <c r="C72" s="11" t="s">
        <v>19</v>
      </c>
      <c r="D72" s="12">
        <v>14010.939999999999</v>
      </c>
      <c r="E72" s="1"/>
      <c r="F72" s="12">
        <v>10.93999999999869</v>
      </c>
      <c r="H72">
        <v>14010.939999999999</v>
      </c>
      <c r="J72">
        <v>10.93999999999869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2BC01-2542-4BE0-8E68-66FA8C6D7719}">
  <sheetPr>
    <tabColor rgb="FF7030A0"/>
  </sheetPr>
  <dimension ref="A1:Z37"/>
  <sheetViews>
    <sheetView topLeftCell="A9" workbookViewId="0">
      <selection activeCell="A34" sqref="A34"/>
    </sheetView>
  </sheetViews>
  <sheetFormatPr defaultColWidth="9.140625" defaultRowHeight="15" x14ac:dyDescent="0.25"/>
  <cols>
    <col min="1" max="1" width="22" style="100" customWidth="1"/>
    <col min="2" max="9" width="9.140625" style="100"/>
    <col min="10" max="10" width="10.5703125" style="100" customWidth="1"/>
    <col min="11" max="16384" width="9.140625" style="100"/>
  </cols>
  <sheetData>
    <row r="1" spans="1:16" ht="21" x14ac:dyDescent="0.25">
      <c r="B1" s="99" t="s">
        <v>50</v>
      </c>
      <c r="J1" s="137" t="str">
        <f>HYPERLINK("#Содержание!A1","К содержанию")</f>
        <v>К содержанию</v>
      </c>
      <c r="K1" s="120"/>
    </row>
    <row r="2" spans="1:16" ht="21" x14ac:dyDescent="0.25">
      <c r="B2" s="101" t="s">
        <v>51</v>
      </c>
    </row>
    <row r="3" spans="1:16" ht="18.75" x14ac:dyDescent="0.25">
      <c r="B3" s="102" t="s">
        <v>52</v>
      </c>
    </row>
    <row r="4" spans="1:16" ht="18.75" x14ac:dyDescent="0.25">
      <c r="B4" s="102" t="s">
        <v>53</v>
      </c>
    </row>
    <row r="8" spans="1:16" ht="15.75" x14ac:dyDescent="0.25">
      <c r="A8" s="115" t="s">
        <v>95</v>
      </c>
    </row>
    <row r="9" spans="1:16" ht="15.75" x14ac:dyDescent="0.25">
      <c r="A9" s="104" t="s">
        <v>57</v>
      </c>
      <c r="B9" s="106" t="s">
        <v>58</v>
      </c>
    </row>
    <row r="11" spans="1:16" ht="15.75" x14ac:dyDescent="0.25">
      <c r="A11" s="107" t="s">
        <v>59</v>
      </c>
    </row>
    <row r="13" spans="1:16" ht="15.75" x14ac:dyDescent="0.25">
      <c r="A13" s="116" t="s">
        <v>60</v>
      </c>
      <c r="B13"/>
    </row>
    <row r="14" spans="1:16" ht="15.75" x14ac:dyDescent="0.25">
      <c r="A14" s="108"/>
      <c r="B14"/>
    </row>
    <row r="15" spans="1:16" ht="15.75" customHeight="1" x14ac:dyDescent="0.25">
      <c r="A15" s="105" t="s">
        <v>61</v>
      </c>
    </row>
    <row r="16" spans="1:16" s="117" customFormat="1" ht="63" customHeight="1" x14ac:dyDescent="0.25">
      <c r="A16" s="98"/>
      <c r="B16" s="146" t="s">
        <v>63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</row>
    <row r="17" spans="1:16" ht="15.75" x14ac:dyDescent="0.25">
      <c r="A17" s="105" t="s">
        <v>62</v>
      </c>
    </row>
    <row r="18" spans="1:16" ht="33.75" customHeight="1" x14ac:dyDescent="0.25">
      <c r="B18" s="147" t="s">
        <v>98</v>
      </c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</row>
    <row r="19" spans="1:16" ht="15" customHeight="1" x14ac:dyDescent="0.25">
      <c r="A19" s="116" t="s">
        <v>64</v>
      </c>
    </row>
    <row r="20" spans="1:16" ht="15.75" x14ac:dyDescent="0.25">
      <c r="A20" s="103" t="s">
        <v>96</v>
      </c>
      <c r="B20"/>
    </row>
    <row r="21" spans="1:16" ht="15.75" x14ac:dyDescent="0.25">
      <c r="A21" s="103" t="s">
        <v>97</v>
      </c>
      <c r="B21"/>
    </row>
    <row r="22" spans="1:16" ht="15.75" x14ac:dyDescent="0.25">
      <c r="A22" s="110"/>
      <c r="B22"/>
    </row>
    <row r="23" spans="1:16" ht="15.75" x14ac:dyDescent="0.25">
      <c r="A23" s="112" t="s">
        <v>65</v>
      </c>
    </row>
    <row r="24" spans="1:16" x14ac:dyDescent="0.25">
      <c r="A24" s="111"/>
    </row>
    <row r="25" spans="1:16" ht="15.75" x14ac:dyDescent="0.25">
      <c r="A25" s="112" t="s">
        <v>66</v>
      </c>
    </row>
    <row r="27" spans="1:16" ht="15.75" x14ac:dyDescent="0.25">
      <c r="A27" s="115" t="s">
        <v>67</v>
      </c>
    </row>
    <row r="28" spans="1:16" ht="15.75" x14ac:dyDescent="0.25">
      <c r="A28" s="109"/>
    </row>
    <row r="29" spans="1:16" ht="15.75" x14ac:dyDescent="0.25">
      <c r="A29" s="142" t="s">
        <v>99</v>
      </c>
    </row>
    <row r="30" spans="1:16" ht="15.75" x14ac:dyDescent="0.25">
      <c r="A30" s="112"/>
    </row>
    <row r="31" spans="1:16" ht="15.75" x14ac:dyDescent="0.25">
      <c r="A31" s="113" t="s">
        <v>68</v>
      </c>
    </row>
    <row r="32" spans="1:16" ht="15.75" x14ac:dyDescent="0.25">
      <c r="A32" s="114" t="s">
        <v>100</v>
      </c>
    </row>
    <row r="33" spans="1:26" ht="15.75" x14ac:dyDescent="0.25">
      <c r="A33" s="114" t="s">
        <v>69</v>
      </c>
    </row>
    <row r="34" spans="1:26" ht="15.75" x14ac:dyDescent="0.25">
      <c r="A34" s="143" t="s">
        <v>103</v>
      </c>
    </row>
    <row r="35" spans="1:26" ht="15.75" x14ac:dyDescent="0.25">
      <c r="A35" s="113" t="s">
        <v>70</v>
      </c>
    </row>
    <row r="36" spans="1:26" ht="15.75" customHeight="1" x14ac:dyDescent="0.25">
      <c r="A36" s="143" t="s">
        <v>101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</row>
    <row r="37" spans="1:26" ht="15.75" x14ac:dyDescent="0.25">
      <c r="A37" s="143" t="s">
        <v>102</v>
      </c>
    </row>
  </sheetData>
  <mergeCells count="2">
    <mergeCell ref="B16:P16"/>
    <mergeCell ref="B18:P1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C28D4-41B3-4B75-B0C7-9433068F4F19}">
  <sheetPr>
    <tabColor rgb="FF0070C0"/>
  </sheetPr>
  <dimension ref="A1:S26"/>
  <sheetViews>
    <sheetView zoomScale="85" zoomScaleNormal="85" workbookViewId="0">
      <selection activeCell="F3" sqref="F3"/>
    </sheetView>
  </sheetViews>
  <sheetFormatPr defaultRowHeight="15" x14ac:dyDescent="0.25"/>
  <cols>
    <col min="1" max="1" width="55.5703125" customWidth="1"/>
    <col min="2" max="2" width="18.7109375" customWidth="1"/>
    <col min="3" max="3" width="14.42578125" customWidth="1"/>
    <col min="4" max="4" width="17.140625" customWidth="1"/>
    <col min="5" max="5" width="15.7109375" customWidth="1"/>
    <col min="6" max="6" width="17" customWidth="1"/>
    <col min="7" max="8" width="14.42578125" customWidth="1"/>
    <col min="9" max="9" width="5.28515625" customWidth="1"/>
    <col min="10" max="16" width="14.42578125" customWidth="1"/>
    <col min="17" max="17" width="5.28515625" customWidth="1"/>
    <col min="18" max="18" width="11.85546875" customWidth="1"/>
    <col min="19" max="19" width="5.28515625" customWidth="1"/>
  </cols>
  <sheetData>
    <row r="1" spans="1:19" ht="21" x14ac:dyDescent="0.25">
      <c r="A1" s="99" t="s">
        <v>24</v>
      </c>
      <c r="F1" s="119" t="str">
        <f>HYPERLINK("#Содержание!A1","К содержанию")</f>
        <v>К содержанию</v>
      </c>
    </row>
    <row r="2" spans="1:19" ht="15.75" x14ac:dyDescent="0.25">
      <c r="B2" s="72" t="s">
        <v>6</v>
      </c>
      <c r="C2" s="72" t="s">
        <v>7</v>
      </c>
      <c r="D2" s="72" t="s">
        <v>8</v>
      </c>
      <c r="E2" s="72" t="s">
        <v>9</v>
      </c>
      <c r="F2" s="72" t="s">
        <v>5</v>
      </c>
      <c r="G2" s="72" t="s">
        <v>10</v>
      </c>
      <c r="H2" s="148" t="s">
        <v>25</v>
      </c>
    </row>
    <row r="3" spans="1:19" ht="47.25" x14ac:dyDescent="0.25">
      <c r="B3" s="29" t="s">
        <v>27</v>
      </c>
      <c r="C3" s="29" t="s">
        <v>28</v>
      </c>
      <c r="D3" s="29" t="s">
        <v>29</v>
      </c>
      <c r="E3" s="29" t="s">
        <v>30</v>
      </c>
      <c r="F3" s="29" t="s">
        <v>31</v>
      </c>
      <c r="G3" s="29" t="s">
        <v>26</v>
      </c>
      <c r="H3" s="149"/>
    </row>
    <row r="4" spans="1:19" ht="15.75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</row>
    <row r="5" spans="1:19" ht="31.5" x14ac:dyDescent="0.25">
      <c r="A5" s="130" t="s">
        <v>35</v>
      </c>
      <c r="B5" s="75">
        <v>-72</v>
      </c>
      <c r="C5" s="75">
        <v>-15</v>
      </c>
      <c r="D5" s="76">
        <v>-91</v>
      </c>
      <c r="E5" s="75">
        <v>209</v>
      </c>
      <c r="F5" s="75">
        <v>29</v>
      </c>
      <c r="G5" s="75">
        <v>-29</v>
      </c>
      <c r="H5" s="75">
        <v>0</v>
      </c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</row>
    <row r="6" spans="1:19" ht="31.5" x14ac:dyDescent="0.25">
      <c r="A6" s="130" t="s">
        <v>36</v>
      </c>
      <c r="B6" s="131">
        <f t="shared" ref="B6:G6" si="0">(B21-J21)</f>
        <v>0</v>
      </c>
      <c r="C6" s="131">
        <f t="shared" si="0"/>
        <v>0</v>
      </c>
      <c r="D6" s="131">
        <f t="shared" si="0"/>
        <v>0</v>
      </c>
      <c r="E6" s="131">
        <f t="shared" si="0"/>
        <v>0</v>
      </c>
      <c r="F6" s="131">
        <f t="shared" si="0"/>
        <v>0</v>
      </c>
      <c r="G6" s="131">
        <f t="shared" si="0"/>
        <v>0</v>
      </c>
      <c r="H6" s="131">
        <f>SUM(B6:E6)+G6</f>
        <v>0</v>
      </c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</row>
    <row r="7" spans="1:19" ht="15.75" x14ac:dyDescent="0.25">
      <c r="A7" s="129" t="s">
        <v>37</v>
      </c>
      <c r="B7" s="128">
        <f>+(B5-B6)</f>
        <v>-72</v>
      </c>
      <c r="C7" s="128">
        <f t="shared" ref="C7:G7" si="1">+(C5-C6)</f>
        <v>-15</v>
      </c>
      <c r="D7" s="128">
        <f t="shared" si="1"/>
        <v>-91</v>
      </c>
      <c r="E7" s="128">
        <f t="shared" si="1"/>
        <v>209</v>
      </c>
      <c r="F7" s="128">
        <f t="shared" si="1"/>
        <v>29</v>
      </c>
      <c r="G7" s="128">
        <f t="shared" si="1"/>
        <v>-29</v>
      </c>
      <c r="H7" s="128">
        <f>(F7+G7)</f>
        <v>0</v>
      </c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</row>
    <row r="8" spans="1:19" ht="15.75" x14ac:dyDescent="0.25">
      <c r="A8" s="74"/>
      <c r="B8" s="74"/>
      <c r="C8" s="74"/>
      <c r="D8" s="74"/>
      <c r="E8" s="74"/>
      <c r="F8" s="74"/>
      <c r="G8" s="74"/>
      <c r="H8" s="74"/>
      <c r="I8" s="78"/>
      <c r="J8" s="74"/>
      <c r="K8" s="74"/>
      <c r="L8" s="74"/>
      <c r="M8" s="74"/>
      <c r="N8" s="74"/>
      <c r="O8" s="74"/>
      <c r="P8" s="74"/>
      <c r="Q8" s="74"/>
      <c r="R8" s="74"/>
      <c r="S8" s="74"/>
    </row>
    <row r="9" spans="1:19" ht="15.75" x14ac:dyDescent="0.25">
      <c r="A9" s="74"/>
      <c r="B9" s="74"/>
      <c r="C9" s="74"/>
      <c r="D9" s="74"/>
      <c r="E9" s="74"/>
      <c r="F9" s="74"/>
      <c r="G9" s="74"/>
      <c r="H9" s="74"/>
      <c r="I9" s="78"/>
      <c r="J9" s="74"/>
      <c r="K9" s="74"/>
      <c r="L9" s="74"/>
      <c r="M9" s="74"/>
      <c r="N9" s="74"/>
      <c r="O9" s="74"/>
      <c r="P9" s="74"/>
      <c r="Q9" s="74"/>
      <c r="R9" s="74"/>
      <c r="S9" s="74"/>
    </row>
    <row r="10" spans="1:19" ht="15.75" x14ac:dyDescent="0.25">
      <c r="A10" s="74"/>
      <c r="B10" s="72" t="s">
        <v>6</v>
      </c>
      <c r="C10" s="72" t="s">
        <v>7</v>
      </c>
      <c r="D10" s="72" t="s">
        <v>8</v>
      </c>
      <c r="E10" s="72" t="s">
        <v>9</v>
      </c>
      <c r="F10" s="72" t="s">
        <v>5</v>
      </c>
      <c r="G10" s="72" t="s">
        <v>10</v>
      </c>
      <c r="H10" s="148" t="s">
        <v>25</v>
      </c>
      <c r="I10" s="78"/>
      <c r="J10" s="73" t="s">
        <v>6</v>
      </c>
      <c r="K10" s="72" t="s">
        <v>7</v>
      </c>
      <c r="L10" s="72" t="s">
        <v>8</v>
      </c>
      <c r="M10" s="72" t="s">
        <v>9</v>
      </c>
      <c r="N10" s="72" t="s">
        <v>5</v>
      </c>
      <c r="O10" s="72" t="s">
        <v>10</v>
      </c>
      <c r="P10" s="153" t="s">
        <v>25</v>
      </c>
      <c r="Q10" s="79"/>
      <c r="R10" s="153" t="s">
        <v>34</v>
      </c>
      <c r="S10" s="74"/>
    </row>
    <row r="11" spans="1:19" ht="47.25" x14ac:dyDescent="0.25">
      <c r="A11" s="29" t="s">
        <v>38</v>
      </c>
      <c r="B11" s="29" t="s">
        <v>27</v>
      </c>
      <c r="C11" s="29" t="s">
        <v>28</v>
      </c>
      <c r="D11" s="29" t="s">
        <v>29</v>
      </c>
      <c r="E11" s="29" t="s">
        <v>30</v>
      </c>
      <c r="F11" s="29" t="s">
        <v>31</v>
      </c>
      <c r="G11" s="29" t="s">
        <v>26</v>
      </c>
      <c r="H11" s="149"/>
      <c r="I11" s="78"/>
      <c r="J11" s="29" t="s">
        <v>27</v>
      </c>
      <c r="K11" s="29" t="s">
        <v>28</v>
      </c>
      <c r="L11" s="29" t="s">
        <v>29</v>
      </c>
      <c r="M11" s="29" t="s">
        <v>30</v>
      </c>
      <c r="N11" s="29" t="s">
        <v>31</v>
      </c>
      <c r="O11" s="29" t="s">
        <v>26</v>
      </c>
      <c r="P11" s="154"/>
      <c r="Q11" s="79"/>
      <c r="R11" s="154"/>
      <c r="S11" s="74"/>
    </row>
    <row r="12" spans="1:19" ht="15.75" x14ac:dyDescent="0.25">
      <c r="A12" s="136" t="s">
        <v>39</v>
      </c>
      <c r="B12" s="150" t="s">
        <v>32</v>
      </c>
      <c r="C12" s="150"/>
      <c r="D12" s="150"/>
      <c r="E12" s="150"/>
      <c r="F12" s="150"/>
      <c r="G12" s="150"/>
      <c r="H12" s="151"/>
      <c r="I12" s="78"/>
      <c r="J12" s="152" t="s">
        <v>33</v>
      </c>
      <c r="K12" s="150"/>
      <c r="L12" s="150"/>
      <c r="M12" s="150"/>
      <c r="N12" s="150"/>
      <c r="O12" s="150"/>
      <c r="P12" s="150"/>
      <c r="Q12" s="74"/>
      <c r="R12" s="80"/>
      <c r="S12" s="74"/>
    </row>
    <row r="13" spans="1:19" ht="15.75" x14ac:dyDescent="0.25">
      <c r="A13" s="134" t="s">
        <v>40</v>
      </c>
      <c r="B13" s="82"/>
      <c r="C13" s="97"/>
      <c r="D13" s="82"/>
      <c r="E13" s="82"/>
      <c r="F13" s="77"/>
      <c r="G13" s="77"/>
      <c r="H13" s="88">
        <f t="shared" ref="H13:H20" si="2">+(F13+G13)</f>
        <v>0</v>
      </c>
      <c r="I13" s="78"/>
      <c r="J13" s="87"/>
      <c r="K13" s="81"/>
      <c r="L13" s="82"/>
      <c r="M13" s="82"/>
      <c r="N13" s="77"/>
      <c r="O13" s="83"/>
      <c r="P13" s="93">
        <f t="shared" ref="P13:P20" si="3">+(N13+O13)</f>
        <v>0</v>
      </c>
      <c r="Q13" s="74"/>
      <c r="R13" s="94">
        <f t="shared" ref="R13:R20" si="4">+(H13-P13)</f>
        <v>0</v>
      </c>
      <c r="S13" s="74"/>
    </row>
    <row r="14" spans="1:19" ht="15.75" x14ac:dyDescent="0.25">
      <c r="A14" s="134" t="s">
        <v>41</v>
      </c>
      <c r="B14" s="82"/>
      <c r="C14" s="81"/>
      <c r="D14" s="82"/>
      <c r="E14" s="82"/>
      <c r="F14" s="77"/>
      <c r="G14" s="77"/>
      <c r="H14" s="88">
        <f t="shared" si="2"/>
        <v>0</v>
      </c>
      <c r="I14" s="78"/>
      <c r="J14" s="96"/>
      <c r="K14" s="82"/>
      <c r="L14" s="82"/>
      <c r="M14" s="82"/>
      <c r="N14" s="77"/>
      <c r="O14" s="83"/>
      <c r="P14" s="93">
        <f t="shared" si="3"/>
        <v>0</v>
      </c>
      <c r="Q14" s="74"/>
      <c r="R14" s="94">
        <f t="shared" si="4"/>
        <v>0</v>
      </c>
      <c r="S14" s="74"/>
    </row>
    <row r="15" spans="1:19" ht="31.5" x14ac:dyDescent="0.25">
      <c r="A15" s="134" t="s">
        <v>44</v>
      </c>
      <c r="B15" s="82"/>
      <c r="C15" s="82"/>
      <c r="D15" s="82"/>
      <c r="E15" s="82"/>
      <c r="F15" s="77"/>
      <c r="G15" s="77"/>
      <c r="H15" s="88">
        <f t="shared" si="2"/>
        <v>0</v>
      </c>
      <c r="I15" s="78"/>
      <c r="J15" s="87"/>
      <c r="K15" s="82"/>
      <c r="L15" s="82"/>
      <c r="M15" s="82"/>
      <c r="N15" s="77"/>
      <c r="O15" s="77"/>
      <c r="P15" s="93">
        <f t="shared" si="3"/>
        <v>0</v>
      </c>
      <c r="Q15" s="74"/>
      <c r="R15" s="94">
        <f t="shared" si="4"/>
        <v>0</v>
      </c>
      <c r="S15" s="74"/>
    </row>
    <row r="16" spans="1:19" ht="15.75" x14ac:dyDescent="0.25">
      <c r="A16" s="134" t="s">
        <v>48</v>
      </c>
      <c r="B16" s="82"/>
      <c r="C16" s="82"/>
      <c r="D16" s="82"/>
      <c r="E16" s="81"/>
      <c r="F16" s="77"/>
      <c r="G16" s="77"/>
      <c r="H16" s="88">
        <f t="shared" si="2"/>
        <v>0</v>
      </c>
      <c r="I16" s="78"/>
      <c r="J16" s="87"/>
      <c r="K16" s="81"/>
      <c r="L16" s="82"/>
      <c r="M16" s="82"/>
      <c r="N16" s="77"/>
      <c r="O16" s="77"/>
      <c r="P16" s="93">
        <f t="shared" si="3"/>
        <v>0</v>
      </c>
      <c r="Q16" s="74"/>
      <c r="R16" s="94">
        <f t="shared" si="4"/>
        <v>0</v>
      </c>
      <c r="S16" s="74"/>
    </row>
    <row r="17" spans="1:19" ht="15.75" x14ac:dyDescent="0.25">
      <c r="A17" s="134" t="s">
        <v>47</v>
      </c>
      <c r="B17" s="82"/>
      <c r="C17" s="82"/>
      <c r="D17" s="82"/>
      <c r="E17" s="82"/>
      <c r="F17" s="77"/>
      <c r="G17" s="77"/>
      <c r="H17" s="88">
        <f t="shared" si="2"/>
        <v>0</v>
      </c>
      <c r="I17" s="78"/>
      <c r="J17" s="84"/>
      <c r="K17" s="77"/>
      <c r="L17" s="77"/>
      <c r="M17" s="77"/>
      <c r="N17" s="77"/>
      <c r="O17" s="77"/>
      <c r="P17" s="93">
        <f t="shared" si="3"/>
        <v>0</v>
      </c>
      <c r="Q17" s="74"/>
      <c r="R17" s="94">
        <f t="shared" si="4"/>
        <v>0</v>
      </c>
      <c r="S17" s="74"/>
    </row>
    <row r="18" spans="1:19" ht="15.75" x14ac:dyDescent="0.25">
      <c r="A18" s="134" t="s">
        <v>42</v>
      </c>
      <c r="B18" s="77"/>
      <c r="C18" s="85"/>
      <c r="D18" s="77"/>
      <c r="E18" s="86"/>
      <c r="F18" s="77"/>
      <c r="G18" s="77"/>
      <c r="H18" s="88">
        <f t="shared" si="2"/>
        <v>0</v>
      </c>
      <c r="I18" s="78"/>
      <c r="J18" s="84"/>
      <c r="K18" s="77"/>
      <c r="L18" s="77"/>
      <c r="M18" s="77"/>
      <c r="N18" s="77"/>
      <c r="O18" s="77"/>
      <c r="P18" s="93">
        <f t="shared" si="3"/>
        <v>0</v>
      </c>
      <c r="Q18" s="74"/>
      <c r="R18" s="94">
        <f t="shared" si="4"/>
        <v>0</v>
      </c>
      <c r="S18" s="74"/>
    </row>
    <row r="19" spans="1:19" ht="31.5" x14ac:dyDescent="0.25">
      <c r="A19" s="134" t="s">
        <v>46</v>
      </c>
      <c r="B19" s="77"/>
      <c r="C19" s="77"/>
      <c r="D19" s="77"/>
      <c r="E19" s="82"/>
      <c r="F19" s="77"/>
      <c r="G19" s="77"/>
      <c r="H19" s="88">
        <f t="shared" si="2"/>
        <v>0</v>
      </c>
      <c r="I19" s="78"/>
      <c r="J19" s="87"/>
      <c r="K19" s="82"/>
      <c r="L19" s="82"/>
      <c r="M19" s="77"/>
      <c r="N19" s="77"/>
      <c r="O19" s="77"/>
      <c r="P19" s="93">
        <f t="shared" si="3"/>
        <v>0</v>
      </c>
      <c r="Q19" s="74"/>
      <c r="R19" s="94">
        <f t="shared" si="4"/>
        <v>0</v>
      </c>
      <c r="S19" s="74"/>
    </row>
    <row r="20" spans="1:19" ht="31.5" x14ac:dyDescent="0.25">
      <c r="A20" s="135" t="s">
        <v>45</v>
      </c>
      <c r="B20" s="77"/>
      <c r="C20" s="77"/>
      <c r="D20" s="77"/>
      <c r="E20" s="77"/>
      <c r="F20" s="77"/>
      <c r="G20" s="77"/>
      <c r="H20" s="88">
        <f t="shared" si="2"/>
        <v>0</v>
      </c>
      <c r="I20" s="78"/>
      <c r="J20" s="84"/>
      <c r="K20" s="77"/>
      <c r="L20" s="77"/>
      <c r="M20" s="77"/>
      <c r="N20" s="77"/>
      <c r="O20" s="77"/>
      <c r="P20" s="93">
        <f t="shared" si="3"/>
        <v>0</v>
      </c>
      <c r="Q20" s="74"/>
      <c r="R20" s="94">
        <f t="shared" si="4"/>
        <v>0</v>
      </c>
      <c r="S20" s="74"/>
    </row>
    <row r="21" spans="1:19" ht="15.75" x14ac:dyDescent="0.25">
      <c r="A21" s="91" t="s">
        <v>43</v>
      </c>
      <c r="B21" s="90">
        <f t="shared" ref="B21:H21" si="5">SUM(B13:B20)</f>
        <v>0</v>
      </c>
      <c r="C21" s="90">
        <f t="shared" si="5"/>
        <v>0</v>
      </c>
      <c r="D21" s="90">
        <f t="shared" si="5"/>
        <v>0</v>
      </c>
      <c r="E21" s="90">
        <f t="shared" si="5"/>
        <v>0</v>
      </c>
      <c r="F21" s="90">
        <f t="shared" si="5"/>
        <v>0</v>
      </c>
      <c r="G21" s="90">
        <f t="shared" si="5"/>
        <v>0</v>
      </c>
      <c r="H21" s="89">
        <f t="shared" si="5"/>
        <v>0</v>
      </c>
      <c r="I21" s="78"/>
      <c r="J21" s="92">
        <f t="shared" ref="J21:P21" si="6">SUM(J13:J20)</f>
        <v>0</v>
      </c>
      <c r="K21" s="90">
        <f t="shared" si="6"/>
        <v>0</v>
      </c>
      <c r="L21" s="90">
        <f t="shared" si="6"/>
        <v>0</v>
      </c>
      <c r="M21" s="90">
        <f t="shared" si="6"/>
        <v>0</v>
      </c>
      <c r="N21" s="90">
        <f t="shared" si="6"/>
        <v>0</v>
      </c>
      <c r="O21" s="90">
        <f t="shared" si="6"/>
        <v>0</v>
      </c>
      <c r="P21" s="90">
        <f t="shared" si="6"/>
        <v>0</v>
      </c>
      <c r="Q21" s="74"/>
      <c r="R21" s="95">
        <f>SUM(R13:R20)</f>
        <v>0</v>
      </c>
      <c r="S21" s="74"/>
    </row>
    <row r="22" spans="1:19" ht="15.75" x14ac:dyDescent="0.25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</row>
    <row r="26" spans="1:19" x14ac:dyDescent="0.25">
      <c r="B26" s="22"/>
      <c r="C26" s="22"/>
      <c r="D26" s="22"/>
      <c r="F26" s="22"/>
      <c r="G26" s="22"/>
      <c r="H26" s="22"/>
    </row>
  </sheetData>
  <mergeCells count="6">
    <mergeCell ref="H2:H3"/>
    <mergeCell ref="B12:H12"/>
    <mergeCell ref="J12:P12"/>
    <mergeCell ref="H10:H11"/>
    <mergeCell ref="R10:R11"/>
    <mergeCell ref="P10:P1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3041E-72BC-4C31-B48B-2E84B991F0A2}">
  <sheetPr>
    <tabColor rgb="FF0070C0"/>
  </sheetPr>
  <dimension ref="A1:N38"/>
  <sheetViews>
    <sheetView workbookViewId="0">
      <pane xSplit="1" ySplit="5" topLeftCell="B13" activePane="bottomRight" state="frozen"/>
      <selection pane="topRight"/>
      <selection pane="bottomLeft"/>
      <selection pane="bottomRight" activeCell="C3" sqref="C3:G3"/>
    </sheetView>
  </sheetViews>
  <sheetFormatPr defaultRowHeight="15" x14ac:dyDescent="0.25"/>
  <cols>
    <col min="3" max="3" width="15.7109375" customWidth="1"/>
    <col min="4" max="5" width="12.5703125" customWidth="1"/>
    <col min="6" max="6" width="13.5703125" customWidth="1"/>
    <col min="7" max="7" width="12.5703125" customWidth="1"/>
    <col min="8" max="8" width="4.140625" style="1" customWidth="1"/>
    <col min="9" max="11" width="12.5703125" customWidth="1"/>
    <col min="12" max="12" width="13.7109375" customWidth="1"/>
    <col min="13" max="13" width="12.5703125" customWidth="1"/>
    <col min="14" max="14" width="4.140625" customWidth="1"/>
  </cols>
  <sheetData>
    <row r="1" spans="1:14" ht="21" x14ac:dyDescent="0.25">
      <c r="A1" s="99" t="s">
        <v>54</v>
      </c>
      <c r="J1" s="119" t="str">
        <f>HYPERLINK("#Содержание!A1","К содержанию")</f>
        <v>К содержанию</v>
      </c>
    </row>
    <row r="2" spans="1:14" ht="15.75" x14ac:dyDescent="0.25">
      <c r="A2" s="27"/>
      <c r="B2" s="27"/>
      <c r="C2" s="71" t="s">
        <v>6</v>
      </c>
      <c r="D2" s="71" t="s">
        <v>7</v>
      </c>
      <c r="E2" s="71" t="s">
        <v>8</v>
      </c>
      <c r="F2" s="71" t="s">
        <v>9</v>
      </c>
      <c r="G2" s="71" t="s">
        <v>10</v>
      </c>
      <c r="H2" s="27"/>
      <c r="I2" s="71" t="s">
        <v>6</v>
      </c>
      <c r="J2" s="71" t="s">
        <v>7</v>
      </c>
      <c r="K2" s="71" t="s">
        <v>8</v>
      </c>
      <c r="L2" s="71" t="s">
        <v>9</v>
      </c>
      <c r="M2" s="71" t="s">
        <v>10</v>
      </c>
      <c r="N2" s="27"/>
    </row>
    <row r="3" spans="1:14" ht="45" x14ac:dyDescent="0.25">
      <c r="A3" s="27"/>
      <c r="B3" s="27"/>
      <c r="C3" s="30" t="s">
        <v>27</v>
      </c>
      <c r="D3" s="30" t="s">
        <v>76</v>
      </c>
      <c r="E3" s="30" t="s">
        <v>78</v>
      </c>
      <c r="F3" s="30" t="s">
        <v>30</v>
      </c>
      <c r="G3" s="30" t="s">
        <v>26</v>
      </c>
      <c r="H3" s="27"/>
      <c r="I3" s="30" t="s">
        <v>27</v>
      </c>
      <c r="J3" s="30" t="s">
        <v>76</v>
      </c>
      <c r="K3" s="30" t="s">
        <v>78</v>
      </c>
      <c r="L3" s="30" t="s">
        <v>30</v>
      </c>
      <c r="M3" s="30" t="s">
        <v>26</v>
      </c>
      <c r="N3" s="27"/>
    </row>
    <row r="4" spans="1:14" x14ac:dyDescent="0.25">
      <c r="A4" s="27"/>
      <c r="B4" s="27"/>
      <c r="C4" s="30" t="s">
        <v>71</v>
      </c>
      <c r="D4" s="30" t="s">
        <v>72</v>
      </c>
      <c r="E4" s="30" t="s">
        <v>73</v>
      </c>
      <c r="F4" s="30" t="s">
        <v>74</v>
      </c>
      <c r="G4" s="30" t="s">
        <v>75</v>
      </c>
      <c r="H4" s="27"/>
      <c r="I4" s="30" t="s">
        <v>71</v>
      </c>
      <c r="J4" s="30" t="s">
        <v>72</v>
      </c>
      <c r="K4" s="30" t="s">
        <v>73</v>
      </c>
      <c r="L4" s="30" t="s">
        <v>74</v>
      </c>
      <c r="M4" s="30" t="s">
        <v>75</v>
      </c>
      <c r="N4" s="27"/>
    </row>
    <row r="5" spans="1:14" ht="15.75" x14ac:dyDescent="0.25">
      <c r="A5" s="27"/>
      <c r="B5" s="27"/>
      <c r="C5" s="156" t="s">
        <v>32</v>
      </c>
      <c r="D5" s="156"/>
      <c r="E5" s="156"/>
      <c r="F5" s="156"/>
      <c r="G5" s="156"/>
      <c r="H5" s="27"/>
      <c r="I5" s="156" t="s">
        <v>33</v>
      </c>
      <c r="J5" s="156"/>
      <c r="K5" s="156"/>
      <c r="L5" s="156"/>
      <c r="M5" s="156"/>
      <c r="N5" s="27"/>
    </row>
    <row r="6" spans="1:14" x14ac:dyDescent="0.25">
      <c r="A6" s="157" t="s">
        <v>23</v>
      </c>
      <c r="B6" s="31"/>
      <c r="C6" s="31"/>
      <c r="D6" s="31"/>
      <c r="E6" s="31"/>
      <c r="F6" s="31"/>
      <c r="G6" s="31"/>
      <c r="H6" s="27"/>
      <c r="I6" s="31"/>
      <c r="J6" s="31"/>
      <c r="K6" s="31"/>
      <c r="L6" s="31"/>
      <c r="M6" s="31"/>
      <c r="N6" s="27"/>
    </row>
    <row r="7" spans="1:14" x14ac:dyDescent="0.25">
      <c r="A7" s="157"/>
      <c r="B7" s="38"/>
      <c r="C7" s="67" t="s">
        <v>0</v>
      </c>
      <c r="D7" s="67" t="s">
        <v>1</v>
      </c>
      <c r="E7" s="67" t="s">
        <v>2</v>
      </c>
      <c r="F7" s="67" t="s">
        <v>22</v>
      </c>
      <c r="G7" s="67" t="s">
        <v>3</v>
      </c>
      <c r="H7" s="35"/>
      <c r="I7" s="67" t="s">
        <v>0</v>
      </c>
      <c r="J7" s="67" t="s">
        <v>1</v>
      </c>
      <c r="K7" s="67" t="s">
        <v>2</v>
      </c>
      <c r="L7" s="67" t="s">
        <v>22</v>
      </c>
      <c r="M7" s="67" t="s">
        <v>3</v>
      </c>
      <c r="N7" s="27"/>
    </row>
    <row r="8" spans="1:14" x14ac:dyDescent="0.25">
      <c r="A8" s="157"/>
      <c r="B8" s="66" t="s">
        <v>0</v>
      </c>
      <c r="C8" s="58"/>
      <c r="D8" s="59"/>
      <c r="E8" s="59"/>
      <c r="F8" s="59"/>
      <c r="G8" s="60"/>
      <c r="H8" s="28"/>
      <c r="I8" s="59"/>
      <c r="J8" s="61"/>
      <c r="K8" s="59"/>
      <c r="L8" s="59"/>
      <c r="M8" s="62"/>
      <c r="N8" s="27"/>
    </row>
    <row r="9" spans="1:14" x14ac:dyDescent="0.25">
      <c r="A9" s="157"/>
      <c r="B9" s="66" t="s">
        <v>1</v>
      </c>
      <c r="C9" s="46"/>
      <c r="D9" s="37"/>
      <c r="E9" s="37"/>
      <c r="F9" s="37"/>
      <c r="G9" s="38"/>
      <c r="H9" s="28"/>
      <c r="I9" s="36"/>
      <c r="J9" s="37"/>
      <c r="K9" s="36"/>
      <c r="L9" s="36"/>
      <c r="M9" s="38"/>
      <c r="N9" s="27"/>
    </row>
    <row r="10" spans="1:14" x14ac:dyDescent="0.25">
      <c r="A10" s="157"/>
      <c r="B10" s="66" t="s">
        <v>2</v>
      </c>
      <c r="C10" s="45"/>
      <c r="D10" s="36"/>
      <c r="E10" s="36"/>
      <c r="F10" s="36"/>
      <c r="G10" s="36"/>
      <c r="H10" s="28"/>
      <c r="I10" s="36"/>
      <c r="J10" s="37"/>
      <c r="K10" s="36"/>
      <c r="L10" s="36"/>
      <c r="M10" s="38"/>
      <c r="N10" s="27"/>
    </row>
    <row r="11" spans="1:14" x14ac:dyDescent="0.25">
      <c r="A11" s="157"/>
      <c r="B11" s="66" t="s">
        <v>22</v>
      </c>
      <c r="C11" s="45"/>
      <c r="D11" s="36"/>
      <c r="E11" s="36"/>
      <c r="F11" s="36"/>
      <c r="G11" s="36"/>
      <c r="H11" s="27"/>
      <c r="I11" s="36"/>
      <c r="J11" s="37"/>
      <c r="K11" s="36"/>
      <c r="L11" s="36"/>
      <c r="M11" s="39"/>
      <c r="N11" s="27"/>
    </row>
    <row r="12" spans="1:14" x14ac:dyDescent="0.25">
      <c r="A12" s="157"/>
      <c r="B12" s="66" t="s">
        <v>3</v>
      </c>
      <c r="C12" s="51"/>
      <c r="D12" s="49"/>
      <c r="E12" s="49"/>
      <c r="F12" s="52"/>
      <c r="G12" s="49"/>
      <c r="H12" s="27"/>
      <c r="I12" s="49"/>
      <c r="J12" s="50"/>
      <c r="K12" s="49"/>
      <c r="L12" s="49"/>
      <c r="M12" s="49"/>
      <c r="N12" s="27"/>
    </row>
    <row r="13" spans="1:14" x14ac:dyDescent="0.25">
      <c r="A13" s="157"/>
      <c r="B13" s="70" t="s">
        <v>21</v>
      </c>
      <c r="C13" s="68">
        <f>+(C8+C9+C10+C11+C12)</f>
        <v>0</v>
      </c>
      <c r="D13" s="68">
        <f>+(D8+D9+D10+D11+D12)</f>
        <v>0</v>
      </c>
      <c r="E13" s="68">
        <f t="shared" ref="E13:F13" si="0">+(E8+E9+E10+E11+E12)</f>
        <v>0</v>
      </c>
      <c r="F13" s="68">
        <f t="shared" si="0"/>
        <v>0</v>
      </c>
      <c r="G13" s="68">
        <f>+(G8+G9+G10+G11+G12)</f>
        <v>0</v>
      </c>
      <c r="H13" s="27"/>
      <c r="I13" s="68">
        <f>+(I8+I9+I10+I11+I12)</f>
        <v>0</v>
      </c>
      <c r="J13" s="68">
        <f>+(J8+J9+J10+J11+J12)</f>
        <v>0</v>
      </c>
      <c r="K13" s="68">
        <f t="shared" ref="K13:L13" si="1">+(K8+K9+K10+K11+K12)</f>
        <v>0</v>
      </c>
      <c r="L13" s="68">
        <f t="shared" si="1"/>
        <v>0</v>
      </c>
      <c r="M13" s="68">
        <f>+(M8+M9+M10+M11+M12)</f>
        <v>0</v>
      </c>
      <c r="N13" s="69">
        <f>+(C13+D13+E13+F13+G13-I13-J13-K13-L13-M13)</f>
        <v>0</v>
      </c>
    </row>
    <row r="14" spans="1:14" x14ac:dyDescent="0.25">
      <c r="A14" s="158" t="s">
        <v>41</v>
      </c>
      <c r="B14" s="32"/>
      <c r="C14" s="32"/>
      <c r="D14" s="32"/>
      <c r="E14" s="32"/>
      <c r="F14" s="32"/>
      <c r="G14" s="32"/>
      <c r="H14" s="27"/>
      <c r="I14" s="32"/>
      <c r="J14" s="32"/>
      <c r="K14" s="32"/>
      <c r="L14" s="32"/>
      <c r="M14" s="32"/>
      <c r="N14" s="27"/>
    </row>
    <row r="15" spans="1:14" x14ac:dyDescent="0.25">
      <c r="A15" s="158"/>
      <c r="B15" s="38"/>
      <c r="C15" s="138" t="s">
        <v>71</v>
      </c>
      <c r="D15" s="67" t="s">
        <v>72</v>
      </c>
      <c r="E15" s="67" t="s">
        <v>73</v>
      </c>
      <c r="F15" s="67" t="s">
        <v>74</v>
      </c>
      <c r="G15" s="138" t="s">
        <v>75</v>
      </c>
      <c r="H15" s="27"/>
      <c r="I15" s="67" t="s">
        <v>71</v>
      </c>
      <c r="J15" s="67" t="s">
        <v>72</v>
      </c>
      <c r="K15" s="67" t="s">
        <v>73</v>
      </c>
      <c r="L15" s="67" t="s">
        <v>74</v>
      </c>
      <c r="M15" s="67" t="s">
        <v>75</v>
      </c>
      <c r="N15" s="27"/>
    </row>
    <row r="16" spans="1:14" x14ac:dyDescent="0.25">
      <c r="A16" s="158"/>
      <c r="B16" s="66" t="s">
        <v>71</v>
      </c>
      <c r="C16" s="63"/>
      <c r="D16" s="62"/>
      <c r="E16" s="62"/>
      <c r="F16" s="62"/>
      <c r="G16" s="62"/>
      <c r="H16" s="27"/>
      <c r="I16" s="62"/>
      <c r="J16" s="62"/>
      <c r="K16" s="64"/>
      <c r="L16" s="62"/>
      <c r="M16" s="62"/>
      <c r="N16" s="27"/>
    </row>
    <row r="17" spans="1:14" x14ac:dyDescent="0.25">
      <c r="A17" s="158"/>
      <c r="B17" s="66" t="s">
        <v>72</v>
      </c>
      <c r="C17" s="47"/>
      <c r="D17" s="38"/>
      <c r="E17" s="38"/>
      <c r="F17" s="38"/>
      <c r="G17" s="38"/>
      <c r="H17" s="27"/>
      <c r="I17" s="38"/>
      <c r="J17" s="38"/>
      <c r="K17" s="40"/>
      <c r="L17" s="38"/>
      <c r="M17" s="38"/>
      <c r="N17" s="27"/>
    </row>
    <row r="18" spans="1:14" x14ac:dyDescent="0.25">
      <c r="A18" s="158"/>
      <c r="B18" s="66" t="s">
        <v>73</v>
      </c>
      <c r="C18" s="47"/>
      <c r="D18" s="38"/>
      <c r="E18" s="38"/>
      <c r="F18" s="38"/>
      <c r="G18" s="38"/>
      <c r="H18" s="27"/>
      <c r="I18" s="38"/>
      <c r="J18" s="38"/>
      <c r="K18" s="40"/>
      <c r="L18" s="38"/>
      <c r="M18" s="38"/>
      <c r="N18" s="27"/>
    </row>
    <row r="19" spans="1:14" x14ac:dyDescent="0.25">
      <c r="A19" s="158"/>
      <c r="B19" s="66" t="s">
        <v>74</v>
      </c>
      <c r="C19" s="47"/>
      <c r="D19" s="38"/>
      <c r="E19" s="38"/>
      <c r="F19" s="38"/>
      <c r="G19" s="38"/>
      <c r="H19" s="27"/>
      <c r="I19" s="38"/>
      <c r="J19" s="38"/>
      <c r="K19" s="40"/>
      <c r="L19" s="38"/>
      <c r="M19" s="38"/>
      <c r="N19" s="27"/>
    </row>
    <row r="20" spans="1:14" x14ac:dyDescent="0.25">
      <c r="A20" s="158"/>
      <c r="B20" s="66" t="s">
        <v>75</v>
      </c>
      <c r="C20" s="53"/>
      <c r="D20" s="54"/>
      <c r="E20" s="54"/>
      <c r="F20" s="54"/>
      <c r="G20" s="54"/>
      <c r="H20" s="27"/>
      <c r="I20" s="55"/>
      <c r="J20" s="55"/>
      <c r="K20" s="56"/>
      <c r="L20" s="54"/>
      <c r="M20" s="54"/>
      <c r="N20" s="27"/>
    </row>
    <row r="21" spans="1:14" x14ac:dyDescent="0.25">
      <c r="A21" s="158"/>
      <c r="B21" s="70" t="s">
        <v>25</v>
      </c>
      <c r="C21" s="68">
        <f>+(C16+C17+C18+C19+C20)</f>
        <v>0</v>
      </c>
      <c r="D21" s="68">
        <f>+(D16+D17+D18+D19+D20)</f>
        <v>0</v>
      </c>
      <c r="E21" s="68">
        <f>+(E16+E17+E18+E19+E20)</f>
        <v>0</v>
      </c>
      <c r="F21" s="68">
        <f>+(F16+F17+F18+F19+F20)</f>
        <v>0</v>
      </c>
      <c r="G21" s="68">
        <f>+(G16+G17+G18+G19+G20)</f>
        <v>0</v>
      </c>
      <c r="H21" s="27"/>
      <c r="I21" s="68">
        <f>+(I16+I17+I18+I19+I20)</f>
        <v>0</v>
      </c>
      <c r="J21" s="68">
        <f>+(J16+J17+J18+J19+J20)</f>
        <v>0</v>
      </c>
      <c r="K21" s="68">
        <f>+(K16+K17+K18+K19+K20)</f>
        <v>0</v>
      </c>
      <c r="L21" s="68">
        <f>+(L16+L17+L18+L19+L20)</f>
        <v>0</v>
      </c>
      <c r="M21" s="68">
        <f>+(M16+M17+M18+M19+M20)</f>
        <v>0</v>
      </c>
      <c r="N21" s="69">
        <f>+(C21+D21+E21+F21+G21-I21-J21-K21-L21-M21)</f>
        <v>0</v>
      </c>
    </row>
    <row r="22" spans="1:14" x14ac:dyDescent="0.25">
      <c r="A22" s="159" t="s">
        <v>40</v>
      </c>
      <c r="B22" s="33"/>
      <c r="C22" s="33"/>
      <c r="D22" s="33"/>
      <c r="E22" s="33"/>
      <c r="F22" s="33"/>
      <c r="G22" s="33"/>
      <c r="H22" s="27"/>
      <c r="I22" s="33"/>
      <c r="J22" s="33"/>
      <c r="K22" s="33"/>
      <c r="L22" s="33"/>
      <c r="M22" s="33"/>
      <c r="N22" s="27"/>
    </row>
    <row r="23" spans="1:14" x14ac:dyDescent="0.25">
      <c r="A23" s="159"/>
      <c r="B23" s="66"/>
      <c r="C23" s="67" t="s">
        <v>71</v>
      </c>
      <c r="D23" s="67" t="s">
        <v>72</v>
      </c>
      <c r="E23" s="67" t="s">
        <v>73</v>
      </c>
      <c r="F23" s="67" t="s">
        <v>74</v>
      </c>
      <c r="G23" s="67" t="s">
        <v>75</v>
      </c>
      <c r="H23" s="27"/>
      <c r="I23" s="67" t="s">
        <v>71</v>
      </c>
      <c r="J23" s="67" t="s">
        <v>72</v>
      </c>
      <c r="K23" s="67" t="s">
        <v>73</v>
      </c>
      <c r="L23" s="67" t="s">
        <v>74</v>
      </c>
      <c r="M23" s="67" t="s">
        <v>75</v>
      </c>
      <c r="N23" s="27"/>
    </row>
    <row r="24" spans="1:14" x14ac:dyDescent="0.25">
      <c r="A24" s="159"/>
      <c r="B24" s="66" t="s">
        <v>71</v>
      </c>
      <c r="C24" s="58"/>
      <c r="D24" s="62"/>
      <c r="E24" s="59"/>
      <c r="F24" s="59"/>
      <c r="G24" s="64"/>
      <c r="H24" s="28"/>
      <c r="I24" s="64"/>
      <c r="J24" s="65"/>
      <c r="K24" s="65"/>
      <c r="L24" s="65"/>
      <c r="M24" s="64"/>
      <c r="N24" s="27"/>
    </row>
    <row r="25" spans="1:14" x14ac:dyDescent="0.25">
      <c r="A25" s="159"/>
      <c r="B25" s="66" t="s">
        <v>72</v>
      </c>
      <c r="C25" s="45"/>
      <c r="D25" s="38"/>
      <c r="E25" s="36"/>
      <c r="F25" s="36"/>
      <c r="G25" s="42"/>
      <c r="H25" s="28"/>
      <c r="I25" s="44"/>
      <c r="J25" s="44"/>
      <c r="K25" s="44"/>
      <c r="L25" s="44"/>
      <c r="M25" s="44"/>
      <c r="N25" s="27"/>
    </row>
    <row r="26" spans="1:14" x14ac:dyDescent="0.25">
      <c r="A26" s="159"/>
      <c r="B26" s="66" t="s">
        <v>73</v>
      </c>
      <c r="C26" s="48"/>
      <c r="D26" s="36"/>
      <c r="E26" s="36"/>
      <c r="F26" s="36"/>
      <c r="G26" s="38"/>
      <c r="H26" s="28"/>
      <c r="I26" s="42"/>
      <c r="J26" s="42"/>
      <c r="K26" s="38"/>
      <c r="L26" s="42"/>
      <c r="M26" s="38"/>
      <c r="N26" s="27"/>
    </row>
    <row r="27" spans="1:14" x14ac:dyDescent="0.25">
      <c r="A27" s="159"/>
      <c r="B27" s="66" t="s">
        <v>74</v>
      </c>
      <c r="C27" s="47"/>
      <c r="D27" s="38"/>
      <c r="E27" s="43"/>
      <c r="F27" s="38"/>
      <c r="G27" s="38"/>
      <c r="H27" s="27"/>
      <c r="I27" s="38"/>
      <c r="J27" s="38"/>
      <c r="K27" s="40"/>
      <c r="L27" s="43"/>
      <c r="M27" s="41"/>
      <c r="N27" s="27"/>
    </row>
    <row r="28" spans="1:14" x14ac:dyDescent="0.25">
      <c r="A28" s="159"/>
      <c r="B28" s="66" t="s">
        <v>75</v>
      </c>
      <c r="C28" s="57"/>
      <c r="D28" s="55"/>
      <c r="E28" s="49"/>
      <c r="F28" s="55"/>
      <c r="G28" s="55"/>
      <c r="H28" s="27"/>
      <c r="I28" s="55"/>
      <c r="J28" s="55"/>
      <c r="K28" s="56"/>
      <c r="L28" s="54"/>
      <c r="M28" s="54"/>
      <c r="N28" s="27"/>
    </row>
    <row r="29" spans="1:14" x14ac:dyDescent="0.25">
      <c r="A29" s="159"/>
      <c r="B29" s="70" t="s">
        <v>25</v>
      </c>
      <c r="C29" s="68">
        <f>+(C24+C25+C26+C27+C28)</f>
        <v>0</v>
      </c>
      <c r="D29" s="68">
        <f>+(D24+D25+D26+D27+D28)</f>
        <v>0</v>
      </c>
      <c r="E29" s="68">
        <f>+(E24+E25+E26+E27+E28)</f>
        <v>0</v>
      </c>
      <c r="F29" s="68">
        <f>+(F24+F25+F26+F27+F28)</f>
        <v>0</v>
      </c>
      <c r="G29" s="68">
        <f>+(G24+G25+G26+G27+G28)</f>
        <v>0</v>
      </c>
      <c r="H29" s="27"/>
      <c r="I29" s="68">
        <f>+(I24+I25+I26+I27+I28)</f>
        <v>0</v>
      </c>
      <c r="J29" s="68">
        <f>+(J24+J25+J26+J27+J28)</f>
        <v>0</v>
      </c>
      <c r="K29" s="68">
        <f>+(K24+K25+K26+K27+K28)</f>
        <v>0</v>
      </c>
      <c r="L29" s="68">
        <f>+(L24+L25+L26+L27+L28)</f>
        <v>0</v>
      </c>
      <c r="M29" s="68">
        <f>+(M24+M25+M26+M27+M28)</f>
        <v>0</v>
      </c>
      <c r="N29" s="69">
        <f>+(C29+D29+E29+F29+G29-I29-J29-K29-L29-M29)</f>
        <v>0</v>
      </c>
    </row>
    <row r="30" spans="1:14" x14ac:dyDescent="0.25">
      <c r="A30" s="155" t="s">
        <v>104</v>
      </c>
      <c r="B30" s="34"/>
      <c r="C30" s="34"/>
      <c r="D30" s="34"/>
      <c r="E30" s="34"/>
      <c r="F30" s="34"/>
      <c r="G30" s="34"/>
      <c r="H30" s="27"/>
      <c r="I30" s="34"/>
      <c r="J30" s="34"/>
      <c r="K30" s="34"/>
      <c r="L30" s="34"/>
      <c r="M30" s="34"/>
      <c r="N30" s="27"/>
    </row>
    <row r="31" spans="1:14" x14ac:dyDescent="0.25">
      <c r="A31" s="155"/>
      <c r="B31" s="66"/>
      <c r="C31" s="67" t="s">
        <v>71</v>
      </c>
      <c r="D31" s="67" t="s">
        <v>72</v>
      </c>
      <c r="E31" s="67" t="s">
        <v>73</v>
      </c>
      <c r="F31" s="67" t="s">
        <v>74</v>
      </c>
      <c r="G31" s="67" t="s">
        <v>75</v>
      </c>
      <c r="H31" s="27"/>
      <c r="I31" s="67" t="s">
        <v>71</v>
      </c>
      <c r="J31" s="67" t="s">
        <v>72</v>
      </c>
      <c r="K31" s="67" t="s">
        <v>73</v>
      </c>
      <c r="L31" s="67" t="s">
        <v>74</v>
      </c>
      <c r="M31" s="67" t="s">
        <v>75</v>
      </c>
      <c r="N31" s="27"/>
    </row>
    <row r="32" spans="1:14" x14ac:dyDescent="0.25">
      <c r="A32" s="155"/>
      <c r="B32" s="66" t="s">
        <v>71</v>
      </c>
      <c r="C32" s="36"/>
      <c r="D32" s="36"/>
      <c r="E32" s="36"/>
      <c r="F32" s="36"/>
      <c r="G32" s="36"/>
      <c r="H32" s="28"/>
      <c r="I32" s="36"/>
      <c r="J32" s="36"/>
      <c r="K32" s="36"/>
      <c r="L32" s="36"/>
      <c r="M32" s="36"/>
      <c r="N32" s="27"/>
    </row>
    <row r="33" spans="1:14" x14ac:dyDescent="0.25">
      <c r="A33" s="155"/>
      <c r="B33" s="66" t="s">
        <v>72</v>
      </c>
      <c r="C33" s="36"/>
      <c r="D33" s="36"/>
      <c r="E33" s="36"/>
      <c r="F33" s="36"/>
      <c r="G33" s="36"/>
      <c r="H33" s="28"/>
      <c r="I33" s="36"/>
      <c r="J33" s="36"/>
      <c r="K33" s="36"/>
      <c r="L33" s="36"/>
      <c r="M33" s="36"/>
      <c r="N33" s="27"/>
    </row>
    <row r="34" spans="1:14" x14ac:dyDescent="0.25">
      <c r="A34" s="155"/>
      <c r="B34" s="66" t="s">
        <v>73</v>
      </c>
      <c r="C34" s="36"/>
      <c r="D34" s="36"/>
      <c r="E34" s="36"/>
      <c r="F34" s="36"/>
      <c r="G34" s="36"/>
      <c r="H34" s="28"/>
      <c r="I34" s="36"/>
      <c r="J34" s="36"/>
      <c r="K34" s="36"/>
      <c r="L34" s="36"/>
      <c r="M34" s="36"/>
      <c r="N34" s="27"/>
    </row>
    <row r="35" spans="1:14" x14ac:dyDescent="0.25">
      <c r="A35" s="155"/>
      <c r="B35" s="66" t="s">
        <v>74</v>
      </c>
      <c r="C35" s="36"/>
      <c r="D35" s="36"/>
      <c r="E35" s="36"/>
      <c r="F35" s="36"/>
      <c r="G35" s="36"/>
      <c r="H35" s="27"/>
      <c r="I35" s="36"/>
      <c r="J35" s="36"/>
      <c r="K35" s="36"/>
      <c r="L35" s="36"/>
      <c r="M35" s="36"/>
      <c r="N35" s="27"/>
    </row>
    <row r="36" spans="1:14" x14ac:dyDescent="0.25">
      <c r="A36" s="155"/>
      <c r="B36" s="66" t="s">
        <v>75</v>
      </c>
      <c r="C36" s="36"/>
      <c r="D36" s="36"/>
      <c r="E36" s="36"/>
      <c r="F36" s="36"/>
      <c r="G36" s="36"/>
      <c r="H36" s="27"/>
      <c r="I36" s="36"/>
      <c r="J36" s="36"/>
      <c r="K36" s="36"/>
      <c r="L36" s="36"/>
      <c r="M36" s="36"/>
      <c r="N36" s="27"/>
    </row>
    <row r="37" spans="1:14" x14ac:dyDescent="0.25">
      <c r="A37" s="155"/>
      <c r="B37" s="70" t="s">
        <v>25</v>
      </c>
      <c r="C37" s="68">
        <f>+(C32+C33+C34+C35+C36)</f>
        <v>0</v>
      </c>
      <c r="D37" s="68">
        <f t="shared" ref="D37:F37" si="2">+(D32+D33+D34+D35+D36)</f>
        <v>0</v>
      </c>
      <c r="E37" s="68">
        <f t="shared" si="2"/>
        <v>0</v>
      </c>
      <c r="F37" s="68">
        <f t="shared" si="2"/>
        <v>0</v>
      </c>
      <c r="G37" s="68">
        <f>+(G32+G33+G34+G35+G36)</f>
        <v>0</v>
      </c>
      <c r="H37" s="27"/>
      <c r="I37" s="68">
        <f>+(I32+I33+I34+I35+I36)</f>
        <v>0</v>
      </c>
      <c r="J37" s="68">
        <f>+(J32+J33+J34+J35+J36)</f>
        <v>0</v>
      </c>
      <c r="K37" s="68">
        <f t="shared" ref="K37:L37" si="3">+(K32+K33+K34+K35+K36)</f>
        <v>0</v>
      </c>
      <c r="L37" s="68">
        <f t="shared" si="3"/>
        <v>0</v>
      </c>
      <c r="M37" s="68">
        <f>+(M32+M33+M34+M35+M36)</f>
        <v>0</v>
      </c>
      <c r="N37" s="69">
        <f>+(C37+D37+E37+F37+G37-I37-J37-K37-L37-M37)</f>
        <v>0</v>
      </c>
    </row>
    <row r="38" spans="1:14" x14ac:dyDescent="0.25">
      <c r="A38" s="144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</row>
  </sheetData>
  <mergeCells count="6">
    <mergeCell ref="A30:A37"/>
    <mergeCell ref="C5:G5"/>
    <mergeCell ref="I5:M5"/>
    <mergeCell ref="A6:A13"/>
    <mergeCell ref="A14:A21"/>
    <mergeCell ref="A22:A2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10F60-6383-47B4-8805-E7EC537E0254}">
  <sheetPr>
    <tabColor rgb="FFFF0000"/>
  </sheetPr>
  <dimension ref="A1:R32"/>
  <sheetViews>
    <sheetView tabSelected="1" topLeftCell="A2" zoomScale="90" zoomScaleNormal="90" workbookViewId="0">
      <selection activeCell="I24" sqref="I24"/>
    </sheetView>
  </sheetViews>
  <sheetFormatPr defaultRowHeight="15" x14ac:dyDescent="0.25"/>
  <cols>
    <col min="1" max="1" width="48.5703125" style="22" customWidth="1"/>
    <col min="2" max="2" width="14.5703125" customWidth="1"/>
    <col min="3" max="4" width="14.42578125" customWidth="1"/>
    <col min="5" max="5" width="15.140625" customWidth="1"/>
    <col min="7" max="7" width="11.42578125" customWidth="1"/>
    <col min="9" max="9" width="49" style="22" customWidth="1"/>
    <col min="10" max="10" width="15.5703125" customWidth="1"/>
    <col min="11" max="11" width="12.85546875" customWidth="1"/>
    <col min="12" max="12" width="14.42578125" customWidth="1"/>
    <col min="13" max="13" width="15.85546875" customWidth="1"/>
    <col min="15" max="15" width="10.42578125" customWidth="1"/>
    <col min="16" max="16" width="14.5703125" customWidth="1"/>
  </cols>
  <sheetData>
    <row r="1" spans="1:18" ht="45" x14ac:dyDescent="0.25">
      <c r="J1" s="22" t="s">
        <v>27</v>
      </c>
      <c r="K1" s="22" t="s">
        <v>28</v>
      </c>
      <c r="L1" s="22" t="s">
        <v>29</v>
      </c>
      <c r="M1" s="22" t="s">
        <v>30</v>
      </c>
      <c r="N1" s="22" t="s">
        <v>31</v>
      </c>
      <c r="O1" s="22" t="s">
        <v>26</v>
      </c>
      <c r="P1" s="22" t="s">
        <v>109</v>
      </c>
    </row>
    <row r="2" spans="1:18" ht="30" x14ac:dyDescent="0.25">
      <c r="A2" s="22" t="s">
        <v>108</v>
      </c>
      <c r="I2" s="22" t="s">
        <v>110</v>
      </c>
      <c r="J2" s="160">
        <v>-72</v>
      </c>
      <c r="K2" s="160">
        <v>-15</v>
      </c>
      <c r="L2" s="161">
        <v>-91</v>
      </c>
      <c r="M2" s="160">
        <v>209</v>
      </c>
      <c r="N2" s="160">
        <f>SUM(J2:M2)</f>
        <v>31</v>
      </c>
      <c r="O2" s="160">
        <v>-29</v>
      </c>
      <c r="P2" s="160">
        <v>0</v>
      </c>
    </row>
    <row r="3" spans="1:18" ht="30" x14ac:dyDescent="0.25">
      <c r="I3" s="22" t="s">
        <v>110</v>
      </c>
      <c r="J3" s="2">
        <f>(B25-J25)</f>
        <v>-74</v>
      </c>
      <c r="K3" s="2">
        <f t="shared" ref="K3:O3" si="0">(C25-K25)</f>
        <v>-14</v>
      </c>
      <c r="L3" s="2">
        <f t="shared" si="0"/>
        <v>-91</v>
      </c>
      <c r="M3" s="2">
        <f t="shared" si="0"/>
        <v>210</v>
      </c>
      <c r="N3" s="2">
        <f t="shared" si="0"/>
        <v>31</v>
      </c>
      <c r="O3" s="2">
        <f t="shared" si="0"/>
        <v>-31</v>
      </c>
      <c r="P3" s="2">
        <f>SUM(J3:M3)+O3</f>
        <v>0</v>
      </c>
    </row>
    <row r="4" spans="1:18" x14ac:dyDescent="0.25">
      <c r="I4" s="22" t="s">
        <v>37</v>
      </c>
      <c r="J4" s="2">
        <f>+(J2-J3)</f>
        <v>2</v>
      </c>
      <c r="K4" s="2">
        <f t="shared" ref="K4:N4" si="1">+(K2-K3)</f>
        <v>-1</v>
      </c>
      <c r="L4" s="2">
        <f t="shared" si="1"/>
        <v>0</v>
      </c>
      <c r="M4" s="2">
        <f t="shared" si="1"/>
        <v>-1</v>
      </c>
      <c r="N4" s="2">
        <f t="shared" si="1"/>
        <v>0</v>
      </c>
      <c r="O4" s="2">
        <f>+(O3-O2)</f>
        <v>-2</v>
      </c>
      <c r="P4" s="2">
        <f>SUM(J4:M4)+O4+N4</f>
        <v>-2</v>
      </c>
    </row>
    <row r="5" spans="1:18" ht="45" x14ac:dyDescent="0.25">
      <c r="A5" s="22" t="s">
        <v>39</v>
      </c>
      <c r="B5" s="177" t="s">
        <v>27</v>
      </c>
      <c r="C5" s="177" t="s">
        <v>28</v>
      </c>
      <c r="D5" s="177" t="s">
        <v>29</v>
      </c>
      <c r="E5" s="177" t="s">
        <v>30</v>
      </c>
      <c r="F5" s="177" t="s">
        <v>31</v>
      </c>
      <c r="G5" s="177" t="s">
        <v>26</v>
      </c>
      <c r="H5" s="177" t="s">
        <v>109</v>
      </c>
      <c r="I5" s="22" t="s">
        <v>39</v>
      </c>
      <c r="J5" s="22" t="s">
        <v>27</v>
      </c>
      <c r="K5" s="22" t="s">
        <v>28</v>
      </c>
      <c r="L5" s="22" t="s">
        <v>29</v>
      </c>
      <c r="M5" s="22" t="s">
        <v>30</v>
      </c>
      <c r="N5" s="22" t="s">
        <v>31</v>
      </c>
      <c r="O5" s="22" t="s">
        <v>26</v>
      </c>
      <c r="P5" s="22" t="s">
        <v>109</v>
      </c>
    </row>
    <row r="7" spans="1:18" x14ac:dyDescent="0.25">
      <c r="A7" s="22" t="s">
        <v>111</v>
      </c>
      <c r="I7" s="22" t="s">
        <v>111</v>
      </c>
    </row>
    <row r="9" spans="1:18" x14ac:dyDescent="0.25">
      <c r="A9" s="22" t="s">
        <v>40</v>
      </c>
      <c r="B9" s="160">
        <f>44</f>
        <v>44</v>
      </c>
      <c r="C9" s="162">
        <f>52+5-2</f>
        <v>55</v>
      </c>
      <c r="D9">
        <v>3</v>
      </c>
      <c r="E9">
        <v>0</v>
      </c>
      <c r="F9">
        <f>SUM(B9:E9)</f>
        <v>102</v>
      </c>
      <c r="G9">
        <f>3+1</f>
        <v>4</v>
      </c>
      <c r="H9">
        <f>+(F9+G9)</f>
        <v>106</v>
      </c>
      <c r="I9" s="22" t="s">
        <v>40</v>
      </c>
      <c r="J9" s="163">
        <f>28-2</f>
        <v>26</v>
      </c>
      <c r="K9" s="164">
        <f>0+3</f>
        <v>3</v>
      </c>
      <c r="L9">
        <f>5</f>
        <v>5</v>
      </c>
      <c r="M9">
        <f>27</f>
        <v>27</v>
      </c>
      <c r="N9">
        <f>SUM(J9:M9)</f>
        <v>61</v>
      </c>
      <c r="O9" s="165">
        <f>1+44</f>
        <v>45</v>
      </c>
      <c r="P9">
        <f>+(N9+O9)</f>
        <v>106</v>
      </c>
      <c r="R9">
        <f>+(H9-P9)</f>
        <v>0</v>
      </c>
    </row>
    <row r="10" spans="1:18" x14ac:dyDescent="0.25">
      <c r="O10" s="165"/>
    </row>
    <row r="11" spans="1:18" x14ac:dyDescent="0.25">
      <c r="A11" s="22" t="s">
        <v>41</v>
      </c>
      <c r="B11">
        <v>5</v>
      </c>
      <c r="C11" s="166">
        <f>36+5+1</f>
        <v>42</v>
      </c>
      <c r="D11">
        <v>7</v>
      </c>
      <c r="E11" s="160">
        <f>10+17+26+3</f>
        <v>56</v>
      </c>
      <c r="F11">
        <f>SUM(B11:E11)</f>
        <v>110</v>
      </c>
      <c r="G11">
        <v>11</v>
      </c>
      <c r="H11">
        <f>+(F11+G11)</f>
        <v>121</v>
      </c>
      <c r="I11" s="22" t="s">
        <v>41</v>
      </c>
      <c r="J11" s="165">
        <v>12</v>
      </c>
      <c r="K11">
        <f>34</f>
        <v>34</v>
      </c>
      <c r="L11" s="160">
        <f>34+14+4+3</f>
        <v>55</v>
      </c>
      <c r="M11">
        <v>0</v>
      </c>
      <c r="N11">
        <f>SUM(J11:M11)</f>
        <v>101</v>
      </c>
      <c r="O11" s="165">
        <v>20</v>
      </c>
      <c r="P11">
        <f>+(N11+O11)</f>
        <v>121</v>
      </c>
      <c r="R11">
        <f>+(H11-P11)</f>
        <v>0</v>
      </c>
    </row>
    <row r="13" spans="1:18" ht="15" customHeight="1" x14ac:dyDescent="0.25">
      <c r="A13" s="22" t="s">
        <v>44</v>
      </c>
      <c r="B13">
        <v>1</v>
      </c>
      <c r="C13">
        <v>7</v>
      </c>
      <c r="D13">
        <v>1</v>
      </c>
      <c r="E13">
        <v>39</v>
      </c>
      <c r="F13">
        <f>SUM(B13:E13)</f>
        <v>48</v>
      </c>
      <c r="H13">
        <f>+(F13+G13)</f>
        <v>48</v>
      </c>
      <c r="I13" s="22" t="s">
        <v>44</v>
      </c>
      <c r="K13">
        <v>48</v>
      </c>
      <c r="L13">
        <v>0</v>
      </c>
      <c r="N13">
        <f>SUM(J13:M13)</f>
        <v>48</v>
      </c>
      <c r="P13">
        <f>+(N13+O13)</f>
        <v>48</v>
      </c>
      <c r="R13">
        <f>+(H13-P13)</f>
        <v>0</v>
      </c>
    </row>
    <row r="15" spans="1:18" x14ac:dyDescent="0.25">
      <c r="A15" s="22" t="s">
        <v>48</v>
      </c>
      <c r="B15">
        <f>5-1</f>
        <v>4</v>
      </c>
      <c r="C15" s="163">
        <f>8+1-1+27+1</f>
        <v>36</v>
      </c>
      <c r="D15">
        <f>-21</f>
        <v>-21</v>
      </c>
      <c r="E15" s="167">
        <f>73-27</f>
        <v>46</v>
      </c>
      <c r="F15">
        <f>SUM(B15:E15)</f>
        <v>65</v>
      </c>
      <c r="G15">
        <v>8</v>
      </c>
      <c r="H15">
        <f>+(F15+G15)</f>
        <v>73</v>
      </c>
      <c r="I15" s="22" t="s">
        <v>48</v>
      </c>
      <c r="K15" s="164">
        <v>74</v>
      </c>
      <c r="L15">
        <v>1</v>
      </c>
      <c r="N15">
        <f>SUM(J15:M15)</f>
        <v>75</v>
      </c>
      <c r="O15">
        <v>-2</v>
      </c>
      <c r="P15">
        <f>+(N15+O15)</f>
        <v>73</v>
      </c>
      <c r="R15">
        <f>+(H15-P15)</f>
        <v>0</v>
      </c>
    </row>
    <row r="17" spans="1:18" x14ac:dyDescent="0.25">
      <c r="A17" s="22" t="s">
        <v>47</v>
      </c>
      <c r="C17">
        <v>-1</v>
      </c>
      <c r="F17">
        <f>SUM(B17:E17)</f>
        <v>-1</v>
      </c>
      <c r="G17">
        <v>1</v>
      </c>
      <c r="H17">
        <f>+(F17+G17)</f>
        <v>0</v>
      </c>
      <c r="I17" s="22" t="s">
        <v>47</v>
      </c>
      <c r="N17">
        <f>SUM(J17:M17)</f>
        <v>0</v>
      </c>
      <c r="P17">
        <f>+(N17+O17)</f>
        <v>0</v>
      </c>
      <c r="R17">
        <f>+(H17-P17)</f>
        <v>0</v>
      </c>
    </row>
    <row r="18" spans="1:18" x14ac:dyDescent="0.25">
      <c r="E18" s="168"/>
      <c r="R18">
        <f>+(H18-P18)</f>
        <v>0</v>
      </c>
    </row>
    <row r="19" spans="1:18" x14ac:dyDescent="0.25">
      <c r="A19" s="22" t="s">
        <v>42</v>
      </c>
      <c r="B19">
        <f>4</f>
        <v>4</v>
      </c>
      <c r="C19" s="169">
        <v>11</v>
      </c>
      <c r="D19">
        <f>6</f>
        <v>6</v>
      </c>
      <c r="E19" s="168">
        <v>15</v>
      </c>
      <c r="F19">
        <f>SUM(B19:E19)</f>
        <v>36</v>
      </c>
      <c r="G19">
        <v>10</v>
      </c>
      <c r="H19">
        <f>+(F19+G19)</f>
        <v>46</v>
      </c>
      <c r="I19" s="22" t="s">
        <v>42</v>
      </c>
      <c r="J19">
        <v>26</v>
      </c>
      <c r="K19">
        <v>0</v>
      </c>
      <c r="L19">
        <f>10+20</f>
        <v>30</v>
      </c>
      <c r="M19">
        <v>4</v>
      </c>
      <c r="N19">
        <f>SUM(J19:M19)</f>
        <v>60</v>
      </c>
      <c r="O19">
        <v>-14</v>
      </c>
      <c r="P19">
        <f>+(N19+O19)</f>
        <v>46</v>
      </c>
      <c r="R19">
        <f>+(H19-P19)</f>
        <v>0</v>
      </c>
    </row>
    <row r="21" spans="1:18" ht="30" x14ac:dyDescent="0.25">
      <c r="A21" s="22" t="s">
        <v>46</v>
      </c>
      <c r="B21">
        <f>19-7</f>
        <v>12</v>
      </c>
      <c r="C21">
        <f>8+3+6</f>
        <v>17</v>
      </c>
      <c r="D21">
        <f>3+1</f>
        <v>4</v>
      </c>
      <c r="E21">
        <f>59+17+6</f>
        <v>82</v>
      </c>
      <c r="F21">
        <f>SUM(B21:E21)</f>
        <v>115</v>
      </c>
      <c r="G21">
        <f>2</f>
        <v>2</v>
      </c>
      <c r="H21">
        <f>+(F21+G21)</f>
        <v>117</v>
      </c>
      <c r="I21" s="22" t="s">
        <v>46</v>
      </c>
      <c r="J21">
        <v>80</v>
      </c>
      <c r="K21">
        <f>29-7</f>
        <v>22</v>
      </c>
      <c r="L21">
        <v>0</v>
      </c>
      <c r="M21">
        <v>0</v>
      </c>
      <c r="N21">
        <f>SUM(J21:M21)</f>
        <v>102</v>
      </c>
      <c r="O21">
        <v>15</v>
      </c>
      <c r="P21">
        <f>+(N21+O21)</f>
        <v>117</v>
      </c>
      <c r="R21">
        <f>+(H21-P21)</f>
        <v>0</v>
      </c>
    </row>
    <row r="23" spans="1:18" ht="30" x14ac:dyDescent="0.25">
      <c r="A23" s="178" t="s">
        <v>45</v>
      </c>
      <c r="B23">
        <v>3</v>
      </c>
      <c r="C23">
        <v>8</v>
      </c>
      <c r="D23">
        <v>0</v>
      </c>
      <c r="E23">
        <v>3</v>
      </c>
      <c r="F23">
        <f>SUM(B23:E23)</f>
        <v>14</v>
      </c>
      <c r="H23">
        <f>+(F23+G23)</f>
        <v>14</v>
      </c>
      <c r="I23" s="178" t="s">
        <v>45</v>
      </c>
      <c r="J23">
        <v>3</v>
      </c>
      <c r="K23">
        <v>8</v>
      </c>
      <c r="L23">
        <v>0</v>
      </c>
      <c r="M23">
        <v>0</v>
      </c>
      <c r="N23">
        <f>SUM(J23:M23)</f>
        <v>11</v>
      </c>
      <c r="O23">
        <v>3</v>
      </c>
      <c r="P23">
        <f>+(N23+O23)</f>
        <v>14</v>
      </c>
      <c r="R23">
        <f>+(H23-P23)</f>
        <v>0</v>
      </c>
    </row>
    <row r="25" spans="1:18" x14ac:dyDescent="0.25">
      <c r="B25">
        <f>SUM(B9:B23)</f>
        <v>73</v>
      </c>
      <c r="C25">
        <f t="shared" ref="C25:R25" si="2">SUM(C9:C23)</f>
        <v>175</v>
      </c>
      <c r="D25">
        <f t="shared" si="2"/>
        <v>0</v>
      </c>
      <c r="E25">
        <f t="shared" si="2"/>
        <v>241</v>
      </c>
      <c r="F25">
        <f t="shared" si="2"/>
        <v>489</v>
      </c>
      <c r="G25">
        <f t="shared" si="2"/>
        <v>36</v>
      </c>
      <c r="H25">
        <f t="shared" si="2"/>
        <v>525</v>
      </c>
      <c r="I25" s="22">
        <f t="shared" si="2"/>
        <v>0</v>
      </c>
      <c r="J25">
        <f t="shared" si="2"/>
        <v>147</v>
      </c>
      <c r="K25">
        <f t="shared" si="2"/>
        <v>189</v>
      </c>
      <c r="L25">
        <f>SUM(L9:L23)</f>
        <v>91</v>
      </c>
      <c r="M25">
        <f t="shared" si="2"/>
        <v>31</v>
      </c>
      <c r="N25">
        <f t="shared" si="2"/>
        <v>458</v>
      </c>
      <c r="O25">
        <f t="shared" si="2"/>
        <v>67</v>
      </c>
      <c r="P25">
        <f t="shared" si="2"/>
        <v>525</v>
      </c>
      <c r="Q25">
        <f t="shared" si="2"/>
        <v>0</v>
      </c>
      <c r="R25">
        <f t="shared" si="2"/>
        <v>0</v>
      </c>
    </row>
    <row r="28" spans="1:18" x14ac:dyDescent="0.25">
      <c r="A28" s="22" t="s">
        <v>112</v>
      </c>
    </row>
    <row r="30" spans="1:18" ht="45" x14ac:dyDescent="0.25">
      <c r="A30" s="22" t="s">
        <v>39</v>
      </c>
      <c r="B30" s="177" t="s">
        <v>27</v>
      </c>
      <c r="C30" s="177" t="s">
        <v>28</v>
      </c>
      <c r="D30" s="177" t="s">
        <v>29</v>
      </c>
      <c r="E30" s="177" t="s">
        <v>30</v>
      </c>
      <c r="F30" s="177" t="s">
        <v>31</v>
      </c>
      <c r="G30" s="177" t="s">
        <v>26</v>
      </c>
      <c r="H30" s="177" t="s">
        <v>109</v>
      </c>
      <c r="I30" s="22" t="s">
        <v>39</v>
      </c>
      <c r="J30" s="22" t="s">
        <v>27</v>
      </c>
      <c r="K30" s="22" t="s">
        <v>28</v>
      </c>
      <c r="L30" s="22" t="s">
        <v>29</v>
      </c>
      <c r="M30" s="22" t="s">
        <v>30</v>
      </c>
      <c r="N30" s="22" t="s">
        <v>31</v>
      </c>
      <c r="O30" s="22" t="s">
        <v>26</v>
      </c>
      <c r="P30" s="22" t="s">
        <v>109</v>
      </c>
    </row>
    <row r="32" spans="1:18" x14ac:dyDescent="0.25">
      <c r="A32" s="22" t="s">
        <v>41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97D66-ADAA-443E-8D83-B5E6B2E24463}">
  <sheetPr>
    <tabColor rgb="FFFF0000"/>
  </sheetPr>
  <dimension ref="A3:Q45"/>
  <sheetViews>
    <sheetView zoomScale="90" zoomScaleNormal="90" workbookViewId="0">
      <selection activeCell="A3" sqref="A3"/>
    </sheetView>
  </sheetViews>
  <sheetFormatPr defaultRowHeight="15" x14ac:dyDescent="0.25"/>
  <cols>
    <col min="1" max="1" width="17.5703125" customWidth="1"/>
    <col min="2" max="2" width="13.140625" customWidth="1"/>
  </cols>
  <sheetData>
    <row r="3" spans="1:17" x14ac:dyDescent="0.25">
      <c r="A3" t="s">
        <v>41</v>
      </c>
      <c r="B3" t="s">
        <v>113</v>
      </c>
      <c r="C3" t="s">
        <v>115</v>
      </c>
      <c r="J3" t="s">
        <v>116</v>
      </c>
    </row>
    <row r="4" spans="1:17" x14ac:dyDescent="0.25">
      <c r="C4" t="s">
        <v>71</v>
      </c>
      <c r="D4" t="s">
        <v>72</v>
      </c>
      <c r="E4" t="s">
        <v>73</v>
      </c>
      <c r="F4" t="s">
        <v>74</v>
      </c>
      <c r="G4" t="s">
        <v>75</v>
      </c>
      <c r="K4" t="s">
        <v>71</v>
      </c>
      <c r="L4" t="s">
        <v>72</v>
      </c>
      <c r="M4" t="s">
        <v>73</v>
      </c>
      <c r="N4" t="s">
        <v>74</v>
      </c>
      <c r="O4" t="s">
        <v>75</v>
      </c>
    </row>
    <row r="6" spans="1:17" x14ac:dyDescent="0.25">
      <c r="B6" t="s">
        <v>71</v>
      </c>
      <c r="C6">
        <v>-1000</v>
      </c>
      <c r="D6">
        <f>3000</f>
        <v>3000</v>
      </c>
      <c r="F6">
        <v>11000</v>
      </c>
      <c r="G6">
        <v>1000</v>
      </c>
      <c r="J6" t="s">
        <v>71</v>
      </c>
      <c r="L6">
        <v>3000</v>
      </c>
      <c r="M6" s="4">
        <f>3000</f>
        <v>3000</v>
      </c>
    </row>
    <row r="7" spans="1:17" x14ac:dyDescent="0.25">
      <c r="B7" t="s">
        <v>72</v>
      </c>
      <c r="C7">
        <v>3000</v>
      </c>
      <c r="D7">
        <f>10000+1000</f>
        <v>11000</v>
      </c>
      <c r="F7">
        <f>18000</f>
        <v>18000</v>
      </c>
      <c r="J7" t="s">
        <v>72</v>
      </c>
      <c r="K7">
        <v>1000</v>
      </c>
      <c r="L7">
        <v>10000</v>
      </c>
      <c r="M7" s="4">
        <f>9000+3000</f>
        <v>12000</v>
      </c>
      <c r="O7">
        <v>16000</v>
      </c>
    </row>
    <row r="8" spans="1:17" x14ac:dyDescent="0.25">
      <c r="B8" t="s">
        <v>73</v>
      </c>
      <c r="C8" s="4">
        <v>3000</v>
      </c>
      <c r="D8" s="4">
        <f>9000+3000</f>
        <v>12000</v>
      </c>
      <c r="E8" s="4">
        <f>1000+3000</f>
        <v>4000</v>
      </c>
      <c r="F8" s="4">
        <f>26000</f>
        <v>26000</v>
      </c>
      <c r="G8" s="4">
        <v>10000</v>
      </c>
      <c r="J8" t="s">
        <v>73</v>
      </c>
      <c r="L8">
        <v>3000</v>
      </c>
      <c r="M8" s="4">
        <v>4000</v>
      </c>
      <c r="O8">
        <v>3000</v>
      </c>
    </row>
    <row r="9" spans="1:17" x14ac:dyDescent="0.25">
      <c r="B9" t="s">
        <v>74</v>
      </c>
      <c r="J9" t="s">
        <v>74</v>
      </c>
      <c r="K9">
        <v>10000</v>
      </c>
      <c r="L9">
        <v>18000</v>
      </c>
      <c r="M9" s="4">
        <v>26000</v>
      </c>
      <c r="O9" s="160">
        <v>1000</v>
      </c>
    </row>
    <row r="10" spans="1:17" x14ac:dyDescent="0.25">
      <c r="B10" t="s">
        <v>75</v>
      </c>
      <c r="C10">
        <v>0</v>
      </c>
      <c r="D10" s="160">
        <f>16000</f>
        <v>16000</v>
      </c>
      <c r="E10" s="4">
        <f>3000</f>
        <v>3000</v>
      </c>
      <c r="F10" s="160">
        <f>1000</f>
        <v>1000</v>
      </c>
      <c r="J10" t="s">
        <v>75</v>
      </c>
      <c r="K10">
        <f>5000-4000</f>
        <v>1000</v>
      </c>
      <c r="M10" s="4">
        <v>10000</v>
      </c>
    </row>
    <row r="12" spans="1:17" x14ac:dyDescent="0.25">
      <c r="B12" t="s">
        <v>109</v>
      </c>
      <c r="C12">
        <f>+(C6+C7+C8+C9+C10)</f>
        <v>5000</v>
      </c>
      <c r="D12">
        <f t="shared" ref="D12:F12" si="0">+(D6+D7+D8+D9+D10)</f>
        <v>42000</v>
      </c>
      <c r="E12">
        <f t="shared" si="0"/>
        <v>7000</v>
      </c>
      <c r="F12">
        <f t="shared" si="0"/>
        <v>56000</v>
      </c>
      <c r="G12">
        <f>+(G6+G7+G8+G9+G10)</f>
        <v>11000</v>
      </c>
      <c r="J12" t="s">
        <v>109</v>
      </c>
      <c r="K12">
        <f>+(K6+K7+K8+K9+K10)</f>
        <v>12000</v>
      </c>
      <c r="L12">
        <f>+(L6+L7+L8+L9+L10)</f>
        <v>34000</v>
      </c>
      <c r="M12">
        <f t="shared" ref="M12:N12" si="1">+(M6+M7+M8+M9+M10)</f>
        <v>55000</v>
      </c>
      <c r="N12">
        <f t="shared" si="1"/>
        <v>0</v>
      </c>
      <c r="O12">
        <f>+(O6+O7+O8+O9+O10)</f>
        <v>20000</v>
      </c>
      <c r="Q12">
        <f>+(C12+D12+E12+F12+G12-K12-L12-M12-N12-O12)</f>
        <v>0</v>
      </c>
    </row>
    <row r="14" spans="1:17" x14ac:dyDescent="0.25">
      <c r="A14" t="s">
        <v>40</v>
      </c>
      <c r="B14" t="s">
        <v>113</v>
      </c>
      <c r="C14" t="s">
        <v>115</v>
      </c>
      <c r="J14" t="s">
        <v>116</v>
      </c>
    </row>
    <row r="15" spans="1:17" x14ac:dyDescent="0.25">
      <c r="C15" t="s">
        <v>71</v>
      </c>
      <c r="D15" t="s">
        <v>72</v>
      </c>
      <c r="E15" t="s">
        <v>73</v>
      </c>
      <c r="F15" t="s">
        <v>74</v>
      </c>
      <c r="G15" t="s">
        <v>75</v>
      </c>
      <c r="K15" t="s">
        <v>71</v>
      </c>
      <c r="L15" t="s">
        <v>72</v>
      </c>
      <c r="M15" t="s">
        <v>73</v>
      </c>
      <c r="N15" t="s">
        <v>74</v>
      </c>
      <c r="O15" t="s">
        <v>75</v>
      </c>
    </row>
    <row r="17" spans="1:17" x14ac:dyDescent="0.25">
      <c r="B17" t="s">
        <v>71</v>
      </c>
      <c r="C17" s="169">
        <v>0</v>
      </c>
      <c r="D17" s="170">
        <v>24000</v>
      </c>
      <c r="E17" s="169"/>
      <c r="F17" s="169">
        <v>0</v>
      </c>
      <c r="G17" s="4">
        <v>2000</v>
      </c>
      <c r="H17" s="169"/>
      <c r="I17" s="169"/>
      <c r="J17" t="s">
        <v>71</v>
      </c>
      <c r="K17" s="4">
        <f>2000+1000</f>
        <v>3000</v>
      </c>
      <c r="L17" s="169">
        <v>0</v>
      </c>
      <c r="M17" s="169">
        <v>0</v>
      </c>
      <c r="N17" s="169"/>
      <c r="O17" s="4">
        <v>44000</v>
      </c>
    </row>
    <row r="18" spans="1:17" x14ac:dyDescent="0.25">
      <c r="B18" t="s">
        <v>72</v>
      </c>
      <c r="C18" s="169">
        <v>0</v>
      </c>
      <c r="D18" s="170">
        <v>3000</v>
      </c>
      <c r="E18" s="169"/>
      <c r="F18" s="169">
        <v>0</v>
      </c>
      <c r="G18" s="169"/>
      <c r="H18" s="169"/>
      <c r="I18" s="169"/>
      <c r="J18" t="s">
        <v>72</v>
      </c>
      <c r="K18" s="170">
        <v>24000</v>
      </c>
      <c r="L18" s="170">
        <v>3000</v>
      </c>
      <c r="M18" s="170">
        <v>3000</v>
      </c>
      <c r="N18" s="170">
        <v>24000</v>
      </c>
      <c r="O18" s="170">
        <v>1000</v>
      </c>
    </row>
    <row r="19" spans="1:17" x14ac:dyDescent="0.25">
      <c r="B19" t="s">
        <v>73</v>
      </c>
      <c r="C19" s="171">
        <v>1000</v>
      </c>
      <c r="D19" s="170">
        <v>3000</v>
      </c>
      <c r="E19" s="169">
        <v>0</v>
      </c>
      <c r="F19" s="169">
        <v>0</v>
      </c>
      <c r="G19" s="161">
        <v>3000</v>
      </c>
      <c r="H19" s="169"/>
      <c r="I19" s="169"/>
      <c r="J19" t="s">
        <v>73</v>
      </c>
      <c r="K19" s="169"/>
      <c r="L19" s="169">
        <v>0</v>
      </c>
      <c r="M19" s="161">
        <v>3000</v>
      </c>
      <c r="N19" s="172">
        <v>3000</v>
      </c>
      <c r="O19">
        <v>0</v>
      </c>
    </row>
    <row r="20" spans="1:17" x14ac:dyDescent="0.25">
      <c r="B20" t="s">
        <v>74</v>
      </c>
      <c r="D20" s="170">
        <v>24000</v>
      </c>
      <c r="E20" s="172">
        <v>3000</v>
      </c>
      <c r="J20" t="s">
        <v>74</v>
      </c>
      <c r="K20">
        <v>0</v>
      </c>
      <c r="L20">
        <v>0</v>
      </c>
      <c r="M20" s="4">
        <v>0</v>
      </c>
      <c r="N20" s="172">
        <v>0</v>
      </c>
      <c r="O20">
        <v>0</v>
      </c>
    </row>
    <row r="21" spans="1:17" x14ac:dyDescent="0.25">
      <c r="B21" t="s">
        <v>75</v>
      </c>
      <c r="C21" s="4">
        <v>44000</v>
      </c>
      <c r="D21" s="170">
        <v>1000</v>
      </c>
      <c r="E21" s="169">
        <v>0</v>
      </c>
      <c r="F21">
        <v>0</v>
      </c>
      <c r="G21">
        <v>0</v>
      </c>
      <c r="J21" t="s">
        <v>75</v>
      </c>
      <c r="K21">
        <v>0</v>
      </c>
      <c r="M21" s="4">
        <v>0</v>
      </c>
    </row>
    <row r="23" spans="1:17" x14ac:dyDescent="0.25">
      <c r="B23" t="s">
        <v>109</v>
      </c>
      <c r="C23">
        <f>+(C17+C18+C19+C20+C21)</f>
        <v>45000</v>
      </c>
      <c r="D23">
        <f t="shared" ref="D23:F23" si="2">+(D17+D18+D19+D20+D21)</f>
        <v>55000</v>
      </c>
      <c r="E23">
        <f t="shared" si="2"/>
        <v>3000</v>
      </c>
      <c r="F23">
        <f t="shared" si="2"/>
        <v>0</v>
      </c>
      <c r="G23">
        <f>+(G17+G18+G19+G20+G21)</f>
        <v>5000</v>
      </c>
      <c r="J23" t="s">
        <v>109</v>
      </c>
      <c r="K23">
        <f>+(K17+K18+K19+K20+K21)</f>
        <v>27000</v>
      </c>
      <c r="L23">
        <f>+(L17+L18+L19+L20+L21)</f>
        <v>3000</v>
      </c>
      <c r="M23">
        <f t="shared" ref="M23" si="3">+(M17+M18+M19+M20+M21)</f>
        <v>6000</v>
      </c>
      <c r="N23">
        <f>+(N17+N18+N19+N20+N21)</f>
        <v>27000</v>
      </c>
      <c r="O23">
        <f>+(O17+O18+O19+O20+O21)</f>
        <v>45000</v>
      </c>
      <c r="Q23">
        <f>+(C23+D23+E23+F23+G23-K23-L23-M23-N23-O23)</f>
        <v>0</v>
      </c>
    </row>
    <row r="25" spans="1:17" x14ac:dyDescent="0.25">
      <c r="A25" t="s">
        <v>104</v>
      </c>
      <c r="B25" t="s">
        <v>113</v>
      </c>
      <c r="C25" t="s">
        <v>115</v>
      </c>
      <c r="J25" t="s">
        <v>116</v>
      </c>
    </row>
    <row r="26" spans="1:17" x14ac:dyDescent="0.25">
      <c r="C26" t="s">
        <v>71</v>
      </c>
      <c r="D26" t="s">
        <v>72</v>
      </c>
      <c r="E26" t="s">
        <v>73</v>
      </c>
      <c r="F26" t="s">
        <v>74</v>
      </c>
      <c r="G26" t="s">
        <v>75</v>
      </c>
      <c r="K26" t="s">
        <v>71</v>
      </c>
      <c r="L26" t="s">
        <v>72</v>
      </c>
      <c r="M26" t="s">
        <v>73</v>
      </c>
      <c r="N26" t="s">
        <v>74</v>
      </c>
      <c r="O26" t="s">
        <v>75</v>
      </c>
    </row>
    <row r="28" spans="1:17" x14ac:dyDescent="0.25">
      <c r="B28" t="s">
        <v>71</v>
      </c>
      <c r="C28" s="173">
        <v>8000</v>
      </c>
      <c r="D28" s="169">
        <v>8000</v>
      </c>
      <c r="E28" s="169">
        <v>3000</v>
      </c>
      <c r="F28" s="169">
        <v>59000</v>
      </c>
      <c r="G28" s="169">
        <v>2000</v>
      </c>
      <c r="H28" s="169"/>
      <c r="I28" s="169"/>
      <c r="J28" t="s">
        <v>71</v>
      </c>
      <c r="K28" s="169">
        <v>11000</v>
      </c>
      <c r="L28" s="169">
        <v>1000</v>
      </c>
      <c r="M28" s="169">
        <v>0</v>
      </c>
      <c r="N28" s="169">
        <v>0</v>
      </c>
      <c r="O28" s="169">
        <v>3000</v>
      </c>
    </row>
    <row r="29" spans="1:17" x14ac:dyDescent="0.25">
      <c r="B29" t="s">
        <v>72</v>
      </c>
      <c r="C29" s="169">
        <v>1000</v>
      </c>
      <c r="D29" s="169">
        <v>3000</v>
      </c>
      <c r="E29" s="169">
        <v>1000</v>
      </c>
      <c r="F29" s="169">
        <v>17000</v>
      </c>
      <c r="G29" s="169">
        <v>0</v>
      </c>
      <c r="H29" s="169"/>
      <c r="I29" s="169"/>
      <c r="J29" t="s">
        <v>72</v>
      </c>
      <c r="K29" s="169">
        <v>8000</v>
      </c>
      <c r="L29" s="169">
        <v>4000</v>
      </c>
      <c r="M29" s="169">
        <v>0</v>
      </c>
      <c r="N29" s="169">
        <v>0</v>
      </c>
      <c r="O29" s="169">
        <v>6000</v>
      </c>
    </row>
    <row r="30" spans="1:17" x14ac:dyDescent="0.25">
      <c r="B30" t="s">
        <v>73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/>
      <c r="I30" s="169"/>
      <c r="J30" t="s">
        <v>73</v>
      </c>
      <c r="K30" s="169">
        <v>0</v>
      </c>
      <c r="L30" s="169">
        <v>0</v>
      </c>
      <c r="M30" s="169">
        <v>0</v>
      </c>
      <c r="N30" s="169">
        <v>0</v>
      </c>
      <c r="O30" s="169">
        <v>0</v>
      </c>
    </row>
    <row r="31" spans="1:17" x14ac:dyDescent="0.25">
      <c r="B31" t="s">
        <v>74</v>
      </c>
      <c r="C31" s="169">
        <v>0</v>
      </c>
      <c r="D31" s="169">
        <v>0</v>
      </c>
      <c r="E31" s="169">
        <v>0</v>
      </c>
      <c r="F31" s="169">
        <v>0</v>
      </c>
      <c r="G31" s="169">
        <v>0</v>
      </c>
      <c r="J31" t="s">
        <v>74</v>
      </c>
      <c r="K31" s="169">
        <v>59000</v>
      </c>
      <c r="L31" s="169">
        <v>17000</v>
      </c>
      <c r="M31" s="169">
        <v>0</v>
      </c>
      <c r="N31" s="169">
        <v>0</v>
      </c>
      <c r="O31" s="169">
        <v>6000</v>
      </c>
    </row>
    <row r="32" spans="1:17" x14ac:dyDescent="0.25">
      <c r="B32" t="s">
        <v>75</v>
      </c>
      <c r="C32" s="169">
        <v>3000</v>
      </c>
      <c r="D32" s="169">
        <v>6000</v>
      </c>
      <c r="E32" s="169">
        <v>0</v>
      </c>
      <c r="F32" s="169">
        <v>6000</v>
      </c>
      <c r="G32" s="169">
        <v>0</v>
      </c>
      <c r="J32" t="s">
        <v>75</v>
      </c>
      <c r="K32" s="169">
        <v>2000</v>
      </c>
      <c r="L32" s="169">
        <v>0</v>
      </c>
      <c r="M32" s="169">
        <v>0</v>
      </c>
      <c r="N32" s="169">
        <v>0</v>
      </c>
      <c r="O32" s="169">
        <v>0</v>
      </c>
    </row>
    <row r="34" spans="1:17" x14ac:dyDescent="0.25">
      <c r="B34" t="s">
        <v>109</v>
      </c>
      <c r="C34">
        <f>+(C28+C29+C30+C31+C32)</f>
        <v>12000</v>
      </c>
      <c r="D34">
        <f t="shared" ref="D34:F34" si="4">+(D28+D29+D30+D31+D32)</f>
        <v>17000</v>
      </c>
      <c r="E34">
        <f t="shared" si="4"/>
        <v>4000</v>
      </c>
      <c r="F34">
        <f t="shared" si="4"/>
        <v>82000</v>
      </c>
      <c r="G34">
        <f>+(G28+G29+G30+G31+G32)</f>
        <v>2000</v>
      </c>
      <c r="J34" t="s">
        <v>109</v>
      </c>
      <c r="K34">
        <f>+(K28+K29+K30+K31+K32)</f>
        <v>80000</v>
      </c>
      <c r="L34">
        <f>+(L28+L29+L30+L31+L32)</f>
        <v>22000</v>
      </c>
      <c r="M34">
        <f t="shared" ref="M34:N34" si="5">+(M28+M29+M30+M31+M32)</f>
        <v>0</v>
      </c>
      <c r="N34">
        <f t="shared" si="5"/>
        <v>0</v>
      </c>
      <c r="O34">
        <f>+(O28+O29+O30+O31+O32)</f>
        <v>15000</v>
      </c>
      <c r="Q34">
        <f>+(C34+D34+E34+F34+G34-K34-L34-M34-N34-O34)</f>
        <v>0</v>
      </c>
    </row>
    <row r="36" spans="1:17" x14ac:dyDescent="0.25">
      <c r="A36" t="s">
        <v>114</v>
      </c>
      <c r="B36" t="s">
        <v>113</v>
      </c>
      <c r="C36" t="s">
        <v>115</v>
      </c>
      <c r="J36" t="s">
        <v>116</v>
      </c>
    </row>
    <row r="37" spans="1:17" x14ac:dyDescent="0.25">
      <c r="C37" t="s">
        <v>71</v>
      </c>
      <c r="D37" t="s">
        <v>72</v>
      </c>
      <c r="E37" t="s">
        <v>73</v>
      </c>
      <c r="F37" t="s">
        <v>74</v>
      </c>
      <c r="G37" t="s">
        <v>75</v>
      </c>
      <c r="K37" t="s">
        <v>71</v>
      </c>
      <c r="L37" t="s">
        <v>72</v>
      </c>
      <c r="M37" t="s">
        <v>73</v>
      </c>
      <c r="N37" t="s">
        <v>74</v>
      </c>
      <c r="O37" t="s">
        <v>75</v>
      </c>
    </row>
    <row r="39" spans="1:17" x14ac:dyDescent="0.25">
      <c r="B39" t="s">
        <v>71</v>
      </c>
      <c r="C39" s="169">
        <v>0</v>
      </c>
      <c r="D39" s="169">
        <v>0</v>
      </c>
      <c r="E39" s="169">
        <v>0</v>
      </c>
      <c r="F39" s="169">
        <v>0</v>
      </c>
      <c r="G39" s="4">
        <v>-1000</v>
      </c>
      <c r="H39" s="169"/>
      <c r="I39" s="4"/>
      <c r="J39" t="s">
        <v>71</v>
      </c>
      <c r="K39" s="169">
        <v>0</v>
      </c>
      <c r="L39" s="172">
        <v>5000</v>
      </c>
      <c r="M39" s="169">
        <v>0</v>
      </c>
      <c r="N39" s="169">
        <v>0</v>
      </c>
      <c r="O39" s="161">
        <v>-1000</v>
      </c>
    </row>
    <row r="40" spans="1:17" x14ac:dyDescent="0.25">
      <c r="B40" t="s">
        <v>72</v>
      </c>
      <c r="C40" s="172">
        <v>5000</v>
      </c>
      <c r="D40" s="172">
        <f>35000+1000</f>
        <v>36000</v>
      </c>
      <c r="E40" s="172">
        <f>-21000</f>
        <v>-21000</v>
      </c>
      <c r="F40" s="172">
        <v>46000</v>
      </c>
      <c r="G40" s="174">
        <f>9000-1000</f>
        <v>8000</v>
      </c>
      <c r="H40" s="169"/>
      <c r="I40" s="169"/>
      <c r="J40" t="s">
        <v>72</v>
      </c>
      <c r="K40" s="169">
        <v>0</v>
      </c>
      <c r="L40" s="172">
        <v>35000</v>
      </c>
      <c r="M40" s="169">
        <v>0</v>
      </c>
      <c r="N40" s="169">
        <v>0</v>
      </c>
      <c r="O40" s="175">
        <v>-1000</v>
      </c>
    </row>
    <row r="41" spans="1:17" x14ac:dyDescent="0.25">
      <c r="B41" t="s">
        <v>73</v>
      </c>
      <c r="C41" s="169">
        <v>0</v>
      </c>
      <c r="D41" s="169">
        <v>0</v>
      </c>
      <c r="E41" s="169">
        <v>0</v>
      </c>
      <c r="F41" s="169">
        <v>0</v>
      </c>
      <c r="G41" s="169">
        <v>0</v>
      </c>
      <c r="H41" s="169"/>
      <c r="I41" s="169"/>
      <c r="J41" t="s">
        <v>73</v>
      </c>
      <c r="K41" s="169">
        <v>0</v>
      </c>
      <c r="L41" s="172">
        <v>-21000</v>
      </c>
      <c r="M41" s="169">
        <v>1000</v>
      </c>
      <c r="N41" s="169">
        <v>0</v>
      </c>
      <c r="O41" s="169">
        <v>0</v>
      </c>
    </row>
    <row r="42" spans="1:17" x14ac:dyDescent="0.25">
      <c r="B42" t="s">
        <v>74</v>
      </c>
      <c r="C42" s="169">
        <v>0</v>
      </c>
      <c r="D42" s="169">
        <v>0</v>
      </c>
      <c r="E42" s="169">
        <v>0</v>
      </c>
      <c r="F42" s="169">
        <v>0</v>
      </c>
      <c r="G42" s="169">
        <v>0</v>
      </c>
      <c r="J42" t="s">
        <v>74</v>
      </c>
      <c r="K42" s="169">
        <v>0</v>
      </c>
      <c r="L42" s="172">
        <v>46000</v>
      </c>
      <c r="M42" s="169">
        <v>0</v>
      </c>
      <c r="N42" s="169">
        <v>0</v>
      </c>
      <c r="O42" s="176">
        <v>0</v>
      </c>
    </row>
    <row r="43" spans="1:17" x14ac:dyDescent="0.25">
      <c r="B43" t="s">
        <v>75</v>
      </c>
      <c r="C43" s="169">
        <v>0</v>
      </c>
      <c r="D43" s="169">
        <v>0</v>
      </c>
      <c r="E43" s="169">
        <v>0</v>
      </c>
      <c r="F43" s="176">
        <v>0</v>
      </c>
      <c r="G43" s="169">
        <v>0</v>
      </c>
      <c r="J43" t="s">
        <v>75</v>
      </c>
      <c r="K43" s="169">
        <v>0</v>
      </c>
      <c r="L43" s="172">
        <v>9000</v>
      </c>
      <c r="M43" s="169">
        <v>0</v>
      </c>
      <c r="N43" s="169">
        <v>0</v>
      </c>
      <c r="O43" s="169">
        <v>0</v>
      </c>
    </row>
    <row r="45" spans="1:17" x14ac:dyDescent="0.25">
      <c r="B45" t="s">
        <v>109</v>
      </c>
      <c r="C45">
        <f>+(C39+C40+C41+C42+C43)</f>
        <v>5000</v>
      </c>
      <c r="D45">
        <f>+(D39+D40+D41+D42+D43)</f>
        <v>36000</v>
      </c>
      <c r="E45">
        <f t="shared" ref="E45:F45" si="6">+(E39+E40+E41+E42+E43)</f>
        <v>-21000</v>
      </c>
      <c r="F45">
        <f t="shared" si="6"/>
        <v>46000</v>
      </c>
      <c r="G45">
        <f>+(G39+G40+G41+G42+G43)</f>
        <v>7000</v>
      </c>
      <c r="J45" t="s">
        <v>109</v>
      </c>
      <c r="K45">
        <f>+(K39+K40+K41+K42+K43)</f>
        <v>0</v>
      </c>
      <c r="L45">
        <f>+(L39+L40+L41+L42+L43)</f>
        <v>74000</v>
      </c>
      <c r="M45">
        <f t="shared" ref="M45:N45" si="7">+(M39+M40+M41+M42+M43)</f>
        <v>1000</v>
      </c>
      <c r="N45">
        <f t="shared" si="7"/>
        <v>0</v>
      </c>
      <c r="O45">
        <f>+(O39+O40+O41+O42+O43)</f>
        <v>-2000</v>
      </c>
      <c r="Q45">
        <f>+(C45+D45+E45+F45+G45-K45-L45-M45-N45-O45)</f>
        <v>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96B0F-7A1A-46E7-8936-8CD6963CE59B}">
  <sheetPr>
    <tabColor rgb="FF00B050"/>
  </sheetPr>
  <dimension ref="B2:Q71"/>
  <sheetViews>
    <sheetView workbookViewId="0">
      <selection activeCell="B3" sqref="B3"/>
    </sheetView>
  </sheetViews>
  <sheetFormatPr defaultRowHeight="15" x14ac:dyDescent="0.25"/>
  <cols>
    <col min="1" max="1" width="3.5703125" customWidth="1"/>
    <col min="2" max="2" width="54.28515625" customWidth="1"/>
    <col min="3" max="4" width="15.5703125" customWidth="1"/>
    <col min="5" max="5" width="3.5703125" customWidth="1"/>
    <col min="6" max="6" width="15.5703125" customWidth="1"/>
  </cols>
  <sheetData>
    <row r="2" spans="2:9" x14ac:dyDescent="0.25">
      <c r="B2" s="8" t="s">
        <v>79</v>
      </c>
      <c r="D2" s="119" t="str">
        <f>HYPERLINK("#Содержание!A1","К содержанию")</f>
        <v>К содержанию</v>
      </c>
      <c r="E2" s="7"/>
    </row>
    <row r="3" spans="2:9" x14ac:dyDescent="0.25">
      <c r="B3" s="8" t="s">
        <v>107</v>
      </c>
      <c r="D3" s="7"/>
      <c r="E3" s="7"/>
    </row>
    <row r="4" spans="2:9" x14ac:dyDescent="0.25">
      <c r="B4" s="9" t="s">
        <v>80</v>
      </c>
      <c r="D4" s="7"/>
      <c r="E4" s="7"/>
    </row>
    <row r="5" spans="2:9" x14ac:dyDescent="0.25">
      <c r="B5" s="9"/>
      <c r="C5" s="7"/>
      <c r="D5" s="24" t="s">
        <v>92</v>
      </c>
      <c r="E5" s="15"/>
      <c r="F5" s="25" t="s">
        <v>93</v>
      </c>
    </row>
    <row r="6" spans="2:9" x14ac:dyDescent="0.25">
      <c r="B6" s="16" t="s">
        <v>86</v>
      </c>
      <c r="C6" s="14" t="s">
        <v>13</v>
      </c>
      <c r="D6" s="6">
        <v>107357.34999999999</v>
      </c>
      <c r="F6" s="6">
        <v>174357.35</v>
      </c>
      <c r="I6" s="6"/>
    </row>
    <row r="8" spans="2:9" x14ac:dyDescent="0.25">
      <c r="B8" s="16" t="s">
        <v>48</v>
      </c>
      <c r="C8" s="11" t="s">
        <v>12</v>
      </c>
      <c r="D8" s="12">
        <v>64206.35</v>
      </c>
      <c r="F8" s="12">
        <v>83206.350000000006</v>
      </c>
      <c r="I8" s="6"/>
    </row>
    <row r="9" spans="2:9" x14ac:dyDescent="0.25">
      <c r="B9" s="10" t="s">
        <v>81</v>
      </c>
      <c r="C9" s="11" t="s">
        <v>5</v>
      </c>
      <c r="D9" s="12">
        <v>23281.72</v>
      </c>
      <c r="F9" s="12">
        <v>30281.72</v>
      </c>
      <c r="I9" s="6"/>
    </row>
    <row r="10" spans="2:9" x14ac:dyDescent="0.25">
      <c r="B10" s="10" t="s">
        <v>76</v>
      </c>
      <c r="C10" s="11" t="s">
        <v>7</v>
      </c>
      <c r="D10" s="12">
        <v>23281.72</v>
      </c>
      <c r="E10" s="2"/>
      <c r="F10" s="12">
        <v>30281.72</v>
      </c>
      <c r="I10" s="6"/>
    </row>
    <row r="11" spans="2:9" x14ac:dyDescent="0.25">
      <c r="B11" s="10" t="s">
        <v>82</v>
      </c>
      <c r="C11" s="11" t="s">
        <v>10</v>
      </c>
      <c r="D11" s="12">
        <v>40924.629999999997</v>
      </c>
      <c r="E11" s="2"/>
      <c r="F11" s="12">
        <v>52924.63</v>
      </c>
      <c r="I11" s="6"/>
    </row>
    <row r="13" spans="2:9" x14ac:dyDescent="0.25">
      <c r="B13" s="16" t="s">
        <v>41</v>
      </c>
      <c r="C13" s="11" t="s">
        <v>14</v>
      </c>
      <c r="D13" s="6">
        <v>1914</v>
      </c>
      <c r="F13" s="6">
        <v>7914</v>
      </c>
      <c r="I13" s="6"/>
    </row>
    <row r="14" spans="2:9" x14ac:dyDescent="0.25">
      <c r="B14" s="10" t="s">
        <v>81</v>
      </c>
      <c r="C14" s="11" t="s">
        <v>5</v>
      </c>
      <c r="D14" s="12">
        <v>1088</v>
      </c>
      <c r="F14" s="6">
        <v>7088</v>
      </c>
      <c r="I14" s="6"/>
    </row>
    <row r="15" spans="2:9" x14ac:dyDescent="0.25">
      <c r="B15" s="10" t="s">
        <v>27</v>
      </c>
      <c r="C15" s="11" t="s">
        <v>6</v>
      </c>
      <c r="D15" s="12">
        <v>1088</v>
      </c>
      <c r="F15" s="6">
        <v>0</v>
      </c>
      <c r="I15" s="6"/>
    </row>
    <row r="16" spans="2:9" x14ac:dyDescent="0.25">
      <c r="B16" s="10" t="s">
        <v>76</v>
      </c>
      <c r="C16" s="11" t="s">
        <v>7</v>
      </c>
      <c r="D16" s="12">
        <v>0</v>
      </c>
      <c r="F16" s="6">
        <v>3000</v>
      </c>
      <c r="I16" s="6"/>
    </row>
    <row r="17" spans="2:17" x14ac:dyDescent="0.25">
      <c r="B17" s="10" t="s">
        <v>77</v>
      </c>
      <c r="C17" s="11" t="s">
        <v>8</v>
      </c>
      <c r="D17" s="12">
        <v>0</v>
      </c>
      <c r="F17" s="6">
        <v>3000</v>
      </c>
      <c r="I17" s="6"/>
    </row>
    <row r="18" spans="2:17" x14ac:dyDescent="0.25">
      <c r="B18" s="10" t="s">
        <v>82</v>
      </c>
      <c r="C18" s="11" t="s">
        <v>10</v>
      </c>
      <c r="D18" s="12">
        <v>826</v>
      </c>
      <c r="F18" s="6">
        <v>826</v>
      </c>
      <c r="I18" s="6"/>
    </row>
    <row r="20" spans="2:17" x14ac:dyDescent="0.25">
      <c r="B20" s="16" t="s">
        <v>40</v>
      </c>
      <c r="C20" s="11" t="s">
        <v>15</v>
      </c>
      <c r="D20" s="6">
        <v>4092</v>
      </c>
      <c r="F20" s="6">
        <v>33092</v>
      </c>
      <c r="I20" s="6"/>
    </row>
    <row r="21" spans="2:17" x14ac:dyDescent="0.25">
      <c r="B21" s="10" t="s">
        <v>81</v>
      </c>
      <c r="C21" s="11" t="s">
        <v>5</v>
      </c>
      <c r="D21" s="12">
        <v>169</v>
      </c>
      <c r="F21" s="6">
        <v>1169</v>
      </c>
      <c r="I21" s="6"/>
    </row>
    <row r="22" spans="2:17" x14ac:dyDescent="0.25">
      <c r="B22" s="10" t="s">
        <v>77</v>
      </c>
      <c r="C22" s="11" t="s">
        <v>8</v>
      </c>
      <c r="D22" s="12">
        <v>169</v>
      </c>
      <c r="E22" s="2"/>
      <c r="F22" s="6">
        <v>1169</v>
      </c>
      <c r="I22" s="6"/>
    </row>
    <row r="23" spans="2:17" x14ac:dyDescent="0.25">
      <c r="B23" s="10" t="s">
        <v>82</v>
      </c>
      <c r="C23" s="11" t="s">
        <v>10</v>
      </c>
      <c r="D23" s="12">
        <v>3923</v>
      </c>
      <c r="E23" s="2"/>
      <c r="F23" s="6">
        <v>31923</v>
      </c>
      <c r="I23" s="6"/>
    </row>
    <row r="25" spans="2:17" ht="30" x14ac:dyDescent="0.25">
      <c r="B25" s="139" t="s">
        <v>83</v>
      </c>
      <c r="C25" s="11" t="s">
        <v>16</v>
      </c>
      <c r="D25" s="6">
        <v>28435.65</v>
      </c>
      <c r="F25" s="6">
        <v>33435.65</v>
      </c>
      <c r="I25" s="6"/>
    </row>
    <row r="26" spans="2:17" x14ac:dyDescent="0.25">
      <c r="B26" s="10" t="s">
        <v>81</v>
      </c>
      <c r="C26" s="11" t="s">
        <v>5</v>
      </c>
      <c r="D26" s="12">
        <v>10227.65</v>
      </c>
      <c r="F26" s="12">
        <v>12227.65</v>
      </c>
      <c r="I26" s="6"/>
    </row>
    <row r="27" spans="2:17" x14ac:dyDescent="0.25">
      <c r="B27" s="10" t="s">
        <v>27</v>
      </c>
      <c r="C27" s="11" t="s">
        <v>6</v>
      </c>
      <c r="D27" s="12">
        <v>9658.09</v>
      </c>
      <c r="F27" s="6">
        <v>13184</v>
      </c>
      <c r="I27" s="6"/>
      <c r="K27" s="6"/>
      <c r="Q27" s="6"/>
    </row>
    <row r="28" spans="2:17" x14ac:dyDescent="0.25">
      <c r="B28" s="10" t="s">
        <v>76</v>
      </c>
      <c r="C28" s="11" t="s">
        <v>7</v>
      </c>
      <c r="D28" s="12">
        <v>569.55999999999995</v>
      </c>
      <c r="F28" s="6">
        <v>1700</v>
      </c>
    </row>
    <row r="29" spans="2:17" x14ac:dyDescent="0.25">
      <c r="B29" s="10" t="s">
        <v>82</v>
      </c>
      <c r="C29" s="11" t="s">
        <v>10</v>
      </c>
      <c r="D29" s="12">
        <v>18208</v>
      </c>
      <c r="F29" s="6">
        <v>21208</v>
      </c>
    </row>
    <row r="31" spans="2:17" ht="30" x14ac:dyDescent="0.25">
      <c r="B31" s="139" t="s">
        <v>84</v>
      </c>
      <c r="C31" s="11" t="s">
        <v>17</v>
      </c>
      <c r="D31" s="12">
        <v>449.28</v>
      </c>
      <c r="F31" s="6">
        <v>1449.28</v>
      </c>
      <c r="I31" s="6"/>
    </row>
    <row r="32" spans="2:17" x14ac:dyDescent="0.25">
      <c r="B32" s="22"/>
      <c r="C32" s="11"/>
      <c r="D32" s="12"/>
      <c r="F32" s="6"/>
    </row>
    <row r="33" spans="2:9" ht="30" x14ac:dyDescent="0.25">
      <c r="B33" s="139" t="s">
        <v>45</v>
      </c>
      <c r="C33" s="11" t="s">
        <v>18</v>
      </c>
      <c r="D33" s="12">
        <v>153.29</v>
      </c>
      <c r="F33" s="6">
        <v>3153.29</v>
      </c>
      <c r="I33" s="6"/>
    </row>
    <row r="34" spans="2:9" x14ac:dyDescent="0.25">
      <c r="B34" s="22"/>
      <c r="C34" s="11"/>
      <c r="D34" s="12"/>
      <c r="F34" s="6"/>
    </row>
    <row r="35" spans="2:9" x14ac:dyDescent="0.25">
      <c r="B35" s="16" t="s">
        <v>105</v>
      </c>
      <c r="C35" s="11" t="s">
        <v>19</v>
      </c>
      <c r="D35" s="12">
        <v>8106.78</v>
      </c>
      <c r="F35" s="6">
        <v>12106.779999999999</v>
      </c>
      <c r="I35" s="6"/>
    </row>
    <row r="37" spans="2:9" x14ac:dyDescent="0.25">
      <c r="D37" s="24" t="s">
        <v>92</v>
      </c>
      <c r="E37" s="15"/>
      <c r="F37" s="25" t="s">
        <v>93</v>
      </c>
    </row>
    <row r="38" spans="2:9" x14ac:dyDescent="0.25">
      <c r="B38" s="16" t="s">
        <v>85</v>
      </c>
      <c r="C38" s="11" t="s">
        <v>13</v>
      </c>
      <c r="D38" s="6">
        <v>268228.64</v>
      </c>
      <c r="F38" s="6">
        <v>404228.64</v>
      </c>
      <c r="I38" s="6"/>
    </row>
    <row r="40" spans="2:9" x14ac:dyDescent="0.25">
      <c r="B40" s="16" t="s">
        <v>41</v>
      </c>
      <c r="C40" s="11" t="s">
        <v>14</v>
      </c>
      <c r="D40" s="6">
        <v>2663.77</v>
      </c>
      <c r="F40" s="6">
        <v>14663.77</v>
      </c>
      <c r="I40" s="6"/>
    </row>
    <row r="41" spans="2:9" x14ac:dyDescent="0.25">
      <c r="B41" s="10" t="s">
        <v>81</v>
      </c>
      <c r="C41" s="11" t="s">
        <v>5</v>
      </c>
      <c r="D41" s="12">
        <v>63.77</v>
      </c>
      <c r="F41" s="12">
        <v>11063.77</v>
      </c>
      <c r="I41" s="6"/>
    </row>
    <row r="42" spans="2:9" x14ac:dyDescent="0.25">
      <c r="B42" s="10" t="s">
        <v>76</v>
      </c>
      <c r="C42" s="11" t="s">
        <v>7</v>
      </c>
      <c r="D42" s="12">
        <v>63.77</v>
      </c>
      <c r="F42" s="6">
        <v>1063.77</v>
      </c>
      <c r="I42" s="6"/>
    </row>
    <row r="43" spans="2:9" x14ac:dyDescent="0.25">
      <c r="B43" s="10" t="s">
        <v>87</v>
      </c>
      <c r="C43" s="11" t="s">
        <v>9</v>
      </c>
      <c r="D43" s="12"/>
      <c r="F43" s="6">
        <v>10000</v>
      </c>
      <c r="I43" s="6"/>
    </row>
    <row r="44" spans="2:9" x14ac:dyDescent="0.25">
      <c r="B44" s="10" t="s">
        <v>82</v>
      </c>
      <c r="C44" s="11" t="s">
        <v>10</v>
      </c>
      <c r="D44" s="12">
        <v>2600</v>
      </c>
      <c r="F44" s="6">
        <v>3600</v>
      </c>
      <c r="I44" s="6"/>
    </row>
    <row r="46" spans="2:9" x14ac:dyDescent="0.25">
      <c r="B46" s="16" t="s">
        <v>40</v>
      </c>
      <c r="C46" s="11" t="s">
        <v>15</v>
      </c>
      <c r="D46" s="6">
        <v>117853.19</v>
      </c>
      <c r="F46" s="6">
        <v>132853.19</v>
      </c>
      <c r="I46" s="6"/>
    </row>
    <row r="47" spans="2:9" x14ac:dyDescent="0.25">
      <c r="B47" s="10" t="s">
        <v>81</v>
      </c>
      <c r="C47" s="11" t="s">
        <v>5</v>
      </c>
      <c r="D47" s="12">
        <v>103089.19</v>
      </c>
      <c r="F47" s="12">
        <v>115089.19</v>
      </c>
      <c r="I47" s="6"/>
    </row>
    <row r="48" spans="2:9" x14ac:dyDescent="0.25">
      <c r="B48" s="10" t="s">
        <v>76</v>
      </c>
      <c r="C48" s="11" t="s">
        <v>7</v>
      </c>
      <c r="D48" s="12">
        <v>102927.77</v>
      </c>
      <c r="F48" s="6">
        <v>114927.77</v>
      </c>
      <c r="I48" s="6"/>
    </row>
    <row r="49" spans="2:11" x14ac:dyDescent="0.25">
      <c r="B49" s="10" t="s">
        <v>77</v>
      </c>
      <c r="C49" s="11" t="s">
        <v>8</v>
      </c>
      <c r="D49" s="12">
        <v>161.41999999999999</v>
      </c>
      <c r="F49" s="6">
        <v>161.41999999999999</v>
      </c>
      <c r="I49" s="6"/>
    </row>
    <row r="50" spans="2:11" x14ac:dyDescent="0.25">
      <c r="B50" s="10" t="s">
        <v>82</v>
      </c>
      <c r="C50" s="11" t="s">
        <v>10</v>
      </c>
      <c r="D50" s="12">
        <v>14764</v>
      </c>
      <c r="F50" s="6">
        <v>17764</v>
      </c>
      <c r="I50" s="6"/>
    </row>
    <row r="52" spans="2:11" ht="30" x14ac:dyDescent="0.25">
      <c r="B52" s="139" t="s">
        <v>83</v>
      </c>
      <c r="C52" s="11" t="s">
        <v>16</v>
      </c>
      <c r="D52" s="6">
        <v>130043.16</v>
      </c>
      <c r="F52" s="6">
        <v>210043.16</v>
      </c>
      <c r="H52" s="6"/>
      <c r="J52" s="6"/>
    </row>
    <row r="53" spans="2:11" x14ac:dyDescent="0.25">
      <c r="B53" s="10" t="s">
        <v>81</v>
      </c>
      <c r="C53" s="11" t="s">
        <v>5</v>
      </c>
      <c r="D53" s="12">
        <v>100337.5</v>
      </c>
      <c r="E53" s="12"/>
      <c r="F53" s="12">
        <v>178337.5</v>
      </c>
      <c r="H53" s="12"/>
      <c r="I53" s="12"/>
      <c r="J53" s="12"/>
    </row>
    <row r="54" spans="2:11" x14ac:dyDescent="0.25">
      <c r="B54" s="10" t="s">
        <v>27</v>
      </c>
      <c r="C54" s="11" t="s">
        <v>6</v>
      </c>
      <c r="D54" s="12">
        <v>12074.09</v>
      </c>
      <c r="E54" s="6"/>
      <c r="F54" s="6">
        <v>23074.09</v>
      </c>
      <c r="H54" s="12"/>
      <c r="I54" s="6"/>
      <c r="J54" s="6"/>
    </row>
    <row r="55" spans="2:11" x14ac:dyDescent="0.25">
      <c r="B55" s="10" t="s">
        <v>76</v>
      </c>
      <c r="C55" s="11" t="s">
        <v>7</v>
      </c>
      <c r="D55" s="12">
        <v>6329.77</v>
      </c>
      <c r="E55" s="6"/>
      <c r="F55" s="6">
        <v>14329.77</v>
      </c>
      <c r="H55" s="12"/>
      <c r="I55" s="6"/>
      <c r="J55" s="6"/>
    </row>
    <row r="56" spans="2:11" x14ac:dyDescent="0.25">
      <c r="B56" s="10" t="s">
        <v>88</v>
      </c>
      <c r="C56" s="11" t="s">
        <v>8</v>
      </c>
      <c r="D56" s="12">
        <v>28645.47</v>
      </c>
      <c r="E56" s="6"/>
      <c r="F56" s="6">
        <v>28645.47</v>
      </c>
      <c r="H56" s="132"/>
      <c r="I56" s="133"/>
      <c r="J56" s="133"/>
    </row>
    <row r="57" spans="2:11" x14ac:dyDescent="0.25">
      <c r="B57" s="10" t="s">
        <v>87</v>
      </c>
      <c r="C57" s="11" t="s">
        <v>9</v>
      </c>
      <c r="D57" s="12">
        <v>53288.17</v>
      </c>
      <c r="E57" s="6"/>
      <c r="F57" s="6">
        <v>112288.17</v>
      </c>
      <c r="H57" s="12"/>
      <c r="I57" s="6"/>
      <c r="J57" s="6"/>
      <c r="K57" s="6"/>
    </row>
    <row r="58" spans="2:11" x14ac:dyDescent="0.25">
      <c r="B58" s="10" t="s">
        <v>82</v>
      </c>
      <c r="C58" s="11" t="s">
        <v>10</v>
      </c>
      <c r="D58" s="12">
        <v>29705.66</v>
      </c>
      <c r="E58" s="6"/>
      <c r="F58" s="6">
        <v>31705.66</v>
      </c>
      <c r="H58" s="12"/>
      <c r="I58" s="6"/>
      <c r="J58" s="6"/>
      <c r="K58" s="6"/>
    </row>
    <row r="59" spans="2:11" x14ac:dyDescent="0.25">
      <c r="B59" s="16"/>
      <c r="C59" s="11"/>
      <c r="D59" s="12" t="s">
        <v>4</v>
      </c>
      <c r="H59" s="12"/>
    </row>
    <row r="60" spans="2:11" ht="30" x14ac:dyDescent="0.25">
      <c r="B60" s="139" t="s">
        <v>45</v>
      </c>
      <c r="C60" s="11" t="s">
        <v>18</v>
      </c>
      <c r="D60" s="12">
        <v>1854</v>
      </c>
      <c r="F60" s="6">
        <v>4854</v>
      </c>
      <c r="H60" s="12"/>
      <c r="J60" s="6"/>
    </row>
    <row r="61" spans="2:11" x14ac:dyDescent="0.25">
      <c r="C61" s="11"/>
      <c r="D61" s="12" t="s">
        <v>4</v>
      </c>
      <c r="H61" s="12"/>
    </row>
    <row r="62" spans="2:11" x14ac:dyDescent="0.25">
      <c r="B62" s="145" t="s">
        <v>106</v>
      </c>
      <c r="C62" s="11" t="s">
        <v>19</v>
      </c>
      <c r="D62" s="12">
        <v>15814.52</v>
      </c>
      <c r="F62" s="6">
        <v>41814.520000000004</v>
      </c>
      <c r="H62" s="12"/>
      <c r="J62" s="6"/>
    </row>
    <row r="63" spans="2:11" x14ac:dyDescent="0.25">
      <c r="C63" s="10"/>
      <c r="D63" s="11"/>
      <c r="E63" s="12"/>
      <c r="I63" s="6"/>
    </row>
    <row r="64" spans="2:11" x14ac:dyDescent="0.25">
      <c r="C64" s="17"/>
      <c r="D64" s="18"/>
      <c r="E64" s="12"/>
    </row>
    <row r="65" spans="3:5" x14ac:dyDescent="0.25">
      <c r="C65" s="17"/>
      <c r="D65" s="18"/>
      <c r="E65" s="12"/>
    </row>
    <row r="66" spans="3:5" x14ac:dyDescent="0.25">
      <c r="C66" s="17"/>
      <c r="D66" s="18"/>
      <c r="E66" s="12"/>
    </row>
    <row r="67" spans="3:5" x14ac:dyDescent="0.25">
      <c r="C67" s="17"/>
      <c r="D67" s="18"/>
      <c r="E67" s="12"/>
    </row>
    <row r="68" spans="3:5" x14ac:dyDescent="0.25">
      <c r="C68" s="10"/>
      <c r="D68" s="11"/>
      <c r="E68" s="12"/>
    </row>
    <row r="69" spans="3:5" x14ac:dyDescent="0.25">
      <c r="C69" s="17"/>
      <c r="D69" s="18"/>
      <c r="E69" s="12"/>
    </row>
    <row r="70" spans="3:5" x14ac:dyDescent="0.25">
      <c r="C70" s="10"/>
      <c r="D70" s="11"/>
      <c r="E70" s="12"/>
    </row>
    <row r="71" spans="3:5" x14ac:dyDescent="0.25">
      <c r="C71" s="10"/>
      <c r="D71" s="11"/>
      <c r="E71" s="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44BB5-21A4-4005-A817-7DC13D720E92}">
  <sheetPr>
    <tabColor rgb="FF00B050"/>
  </sheetPr>
  <dimension ref="A2:S81"/>
  <sheetViews>
    <sheetView workbookViewId="0">
      <selection activeCell="B4" sqref="B4"/>
    </sheetView>
  </sheetViews>
  <sheetFormatPr defaultRowHeight="15" x14ac:dyDescent="0.25"/>
  <cols>
    <col min="1" max="1" width="3.5703125" customWidth="1"/>
    <col min="2" max="2" width="51.42578125" customWidth="1"/>
    <col min="3" max="4" width="15.5703125" customWidth="1"/>
    <col min="5" max="5" width="3.5703125" customWidth="1"/>
    <col min="6" max="6" width="15.5703125" customWidth="1"/>
    <col min="7" max="7" width="9.42578125" bestFit="1" customWidth="1"/>
  </cols>
  <sheetData>
    <row r="2" spans="2:11" x14ac:dyDescent="0.25">
      <c r="B2" s="8" t="s">
        <v>89</v>
      </c>
      <c r="C2" s="7"/>
      <c r="D2" s="119" t="str">
        <f>HYPERLINK("#Содержание!A1","К содержанию")</f>
        <v>К содержанию</v>
      </c>
      <c r="E2" s="7"/>
    </row>
    <row r="3" spans="2:11" x14ac:dyDescent="0.25">
      <c r="B3" s="8" t="s">
        <v>107</v>
      </c>
      <c r="C3" s="7"/>
      <c r="E3" s="7"/>
    </row>
    <row r="4" spans="2:11" x14ac:dyDescent="0.25">
      <c r="B4" s="9" t="s">
        <v>80</v>
      </c>
      <c r="C4" s="7"/>
      <c r="E4" s="7"/>
    </row>
    <row r="5" spans="2:11" x14ac:dyDescent="0.25">
      <c r="B5" s="9"/>
      <c r="C5" s="7"/>
      <c r="D5" s="24" t="s">
        <v>92</v>
      </c>
      <c r="E5" s="15"/>
      <c r="F5" s="25" t="s">
        <v>93</v>
      </c>
    </row>
    <row r="6" spans="2:11" x14ac:dyDescent="0.25">
      <c r="B6" s="16" t="s">
        <v>86</v>
      </c>
      <c r="C6" s="14" t="s">
        <v>13</v>
      </c>
      <c r="D6" s="6">
        <v>520917.32</v>
      </c>
      <c r="F6" s="6">
        <v>658917.32000000007</v>
      </c>
      <c r="I6" s="6"/>
    </row>
    <row r="7" spans="2:11" x14ac:dyDescent="0.25">
      <c r="B7" s="13"/>
      <c r="C7" s="14"/>
      <c r="D7" s="6"/>
    </row>
    <row r="8" spans="2:11" x14ac:dyDescent="0.25">
      <c r="B8" s="16" t="s">
        <v>47</v>
      </c>
      <c r="C8" s="11" t="s">
        <v>20</v>
      </c>
      <c r="D8" s="12">
        <v>4031</v>
      </c>
      <c r="F8" s="6">
        <v>3031</v>
      </c>
      <c r="I8" s="6"/>
    </row>
    <row r="9" spans="2:11" x14ac:dyDescent="0.25">
      <c r="C9" s="11"/>
      <c r="D9" s="12"/>
    </row>
    <row r="10" spans="2:11" x14ac:dyDescent="0.25">
      <c r="B10" s="16" t="s">
        <v>48</v>
      </c>
      <c r="C10" s="11" t="s">
        <v>12</v>
      </c>
      <c r="D10" s="12">
        <v>112752.70000000001</v>
      </c>
      <c r="F10" s="12">
        <v>122752.70000000001</v>
      </c>
      <c r="H10" s="10"/>
      <c r="I10" s="6"/>
      <c r="J10" s="12"/>
    </row>
    <row r="11" spans="2:11" x14ac:dyDescent="0.25">
      <c r="B11" s="10" t="s">
        <v>81</v>
      </c>
      <c r="C11" s="11" t="s">
        <v>5</v>
      </c>
      <c r="D11" s="12">
        <v>80705.27</v>
      </c>
      <c r="F11" s="12">
        <v>87705.27</v>
      </c>
      <c r="H11" s="17"/>
      <c r="I11" s="6"/>
      <c r="J11" s="12"/>
    </row>
    <row r="12" spans="2:11" x14ac:dyDescent="0.25">
      <c r="B12" s="10" t="s">
        <v>76</v>
      </c>
      <c r="C12" s="11" t="s">
        <v>7</v>
      </c>
      <c r="D12" s="12">
        <v>79955.27</v>
      </c>
      <c r="E12" s="2"/>
      <c r="F12" s="6">
        <v>86955.27</v>
      </c>
      <c r="H12" s="10"/>
      <c r="I12" s="6"/>
      <c r="J12" s="12"/>
    </row>
    <row r="13" spans="2:11" x14ac:dyDescent="0.25">
      <c r="B13" s="10" t="s">
        <v>77</v>
      </c>
      <c r="C13" s="11" t="s">
        <v>8</v>
      </c>
      <c r="D13" s="12">
        <v>750</v>
      </c>
      <c r="E13" s="2"/>
      <c r="F13" s="6">
        <f>750+1000</f>
        <v>1750</v>
      </c>
      <c r="I13" s="6"/>
    </row>
    <row r="14" spans="2:11" x14ac:dyDescent="0.25">
      <c r="B14" s="10" t="s">
        <v>82</v>
      </c>
      <c r="C14" s="11" t="s">
        <v>10</v>
      </c>
      <c r="D14" s="12">
        <v>32047.43</v>
      </c>
      <c r="E14" s="2"/>
      <c r="F14" s="6">
        <v>35047.43</v>
      </c>
      <c r="I14" s="6"/>
    </row>
    <row r="15" spans="2:11" x14ac:dyDescent="0.25">
      <c r="B15" s="17"/>
      <c r="C15" s="11"/>
      <c r="D15" s="12"/>
    </row>
    <row r="16" spans="2:11" x14ac:dyDescent="0.25">
      <c r="B16" s="16" t="s">
        <v>41</v>
      </c>
      <c r="C16" s="11" t="s">
        <v>14</v>
      </c>
      <c r="D16" s="6">
        <v>102837.59</v>
      </c>
      <c r="F16" s="6">
        <v>144837.59</v>
      </c>
      <c r="I16" s="6"/>
      <c r="K16" s="6"/>
    </row>
    <row r="17" spans="2:11" x14ac:dyDescent="0.25">
      <c r="B17" s="10" t="s">
        <v>81</v>
      </c>
      <c r="C17" s="11" t="s">
        <v>5</v>
      </c>
      <c r="D17" s="12">
        <v>20021.46</v>
      </c>
      <c r="F17" s="12">
        <v>46021.46</v>
      </c>
    </row>
    <row r="18" spans="2:11" x14ac:dyDescent="0.25">
      <c r="B18" s="10" t="s">
        <v>27</v>
      </c>
      <c r="C18" s="11" t="s">
        <v>6</v>
      </c>
      <c r="D18" s="12">
        <v>63</v>
      </c>
      <c r="F18" s="6">
        <v>3063</v>
      </c>
      <c r="K18" s="6"/>
    </row>
    <row r="19" spans="2:11" x14ac:dyDescent="0.25">
      <c r="B19" s="10" t="s">
        <v>76</v>
      </c>
      <c r="C19" s="11" t="s">
        <v>7</v>
      </c>
      <c r="D19" s="12">
        <v>555.64</v>
      </c>
      <c r="E19" s="4"/>
      <c r="F19" s="6">
        <v>11555.64</v>
      </c>
      <c r="K19" s="6"/>
    </row>
    <row r="20" spans="2:11" x14ac:dyDescent="0.25">
      <c r="B20" s="10" t="s">
        <v>77</v>
      </c>
      <c r="C20" s="11" t="s">
        <v>8</v>
      </c>
      <c r="D20" s="12">
        <v>19402.82</v>
      </c>
      <c r="E20" s="4"/>
      <c r="F20" s="6">
        <v>31402.82</v>
      </c>
      <c r="K20" s="6"/>
    </row>
    <row r="21" spans="2:11" x14ac:dyDescent="0.25">
      <c r="B21" s="10" t="s">
        <v>82</v>
      </c>
      <c r="C21" s="11" t="s">
        <v>10</v>
      </c>
      <c r="D21" s="12">
        <v>82816.13</v>
      </c>
      <c r="E21" s="4"/>
      <c r="F21" s="6">
        <v>98816.13</v>
      </c>
      <c r="K21" s="6"/>
    </row>
    <row r="22" spans="2:11" x14ac:dyDescent="0.25">
      <c r="D22" s="6"/>
    </row>
    <row r="23" spans="2:11" x14ac:dyDescent="0.25">
      <c r="B23" s="16" t="s">
        <v>40</v>
      </c>
      <c r="C23" s="11" t="s">
        <v>15</v>
      </c>
      <c r="D23" s="12">
        <v>257408.5</v>
      </c>
      <c r="F23" s="12">
        <v>312408.5</v>
      </c>
      <c r="H23" s="6"/>
      <c r="I23" s="6"/>
    </row>
    <row r="24" spans="2:11" x14ac:dyDescent="0.25">
      <c r="B24" s="10" t="s">
        <v>81</v>
      </c>
      <c r="C24" s="11" t="s">
        <v>5</v>
      </c>
      <c r="D24" s="12">
        <v>252199</v>
      </c>
      <c r="F24" s="12">
        <v>306199</v>
      </c>
      <c r="H24" s="6"/>
      <c r="I24" s="6"/>
    </row>
    <row r="25" spans="2:11" x14ac:dyDescent="0.25">
      <c r="B25" s="10" t="s">
        <v>27</v>
      </c>
      <c r="C25" s="11" t="s">
        <v>6</v>
      </c>
      <c r="D25" s="12">
        <v>102928</v>
      </c>
      <c r="F25" s="26">
        <v>118928</v>
      </c>
      <c r="H25" s="6"/>
      <c r="I25" s="6"/>
    </row>
    <row r="26" spans="2:11" x14ac:dyDescent="0.25">
      <c r="B26" s="10" t="s">
        <v>76</v>
      </c>
      <c r="C26" s="11" t="s">
        <v>7</v>
      </c>
      <c r="D26" s="12">
        <v>16454</v>
      </c>
      <c r="F26" s="26">
        <v>17954</v>
      </c>
      <c r="H26" s="6"/>
      <c r="I26" s="6"/>
    </row>
    <row r="27" spans="2:11" x14ac:dyDescent="0.25">
      <c r="B27" s="10" t="s">
        <v>77</v>
      </c>
      <c r="C27" s="11" t="s">
        <v>8</v>
      </c>
      <c r="D27" s="12">
        <v>15911</v>
      </c>
      <c r="F27" s="6">
        <v>18911</v>
      </c>
      <c r="H27" s="6"/>
      <c r="I27" s="6"/>
    </row>
    <row r="28" spans="2:11" x14ac:dyDescent="0.25">
      <c r="B28" s="10" t="s">
        <v>87</v>
      </c>
      <c r="C28" s="11" t="s">
        <v>9</v>
      </c>
      <c r="D28" s="12">
        <v>116906</v>
      </c>
      <c r="F28" s="6">
        <v>130906</v>
      </c>
      <c r="H28" s="6"/>
      <c r="I28" s="6"/>
    </row>
    <row r="29" spans="2:11" x14ac:dyDescent="0.25">
      <c r="B29" s="10" t="s">
        <v>82</v>
      </c>
      <c r="C29" s="11" t="s">
        <v>10</v>
      </c>
      <c r="D29" s="12">
        <v>5209.5</v>
      </c>
      <c r="F29" s="6">
        <v>6209.5</v>
      </c>
      <c r="H29" s="6"/>
      <c r="I29" s="6"/>
    </row>
    <row r="30" spans="2:11" x14ac:dyDescent="0.25">
      <c r="D30" s="6"/>
    </row>
    <row r="31" spans="2:11" ht="30" x14ac:dyDescent="0.25">
      <c r="B31" s="139" t="s">
        <v>83</v>
      </c>
      <c r="C31" s="11" t="s">
        <v>16</v>
      </c>
      <c r="D31" s="6">
        <v>27735</v>
      </c>
      <c r="F31" s="6">
        <v>44735</v>
      </c>
      <c r="I31" s="6"/>
    </row>
    <row r="32" spans="2:11" x14ac:dyDescent="0.25">
      <c r="B32" s="10" t="s">
        <v>81</v>
      </c>
      <c r="C32" s="11" t="s">
        <v>5</v>
      </c>
      <c r="D32" s="12">
        <v>11795</v>
      </c>
      <c r="E32" s="1"/>
      <c r="F32" s="12">
        <v>22795</v>
      </c>
    </row>
    <row r="33" spans="2:19" x14ac:dyDescent="0.25">
      <c r="B33" s="10" t="s">
        <v>27</v>
      </c>
      <c r="C33" s="11" t="s">
        <v>6</v>
      </c>
      <c r="D33" s="12">
        <f>8788</f>
        <v>8788</v>
      </c>
      <c r="F33" s="6">
        <v>19874</v>
      </c>
      <c r="I33" s="6"/>
      <c r="R33" s="6"/>
      <c r="S33" s="6"/>
    </row>
    <row r="34" spans="2:19" x14ac:dyDescent="0.25">
      <c r="B34" s="10" t="s">
        <v>76</v>
      </c>
      <c r="C34" s="11" t="s">
        <v>7</v>
      </c>
      <c r="D34" s="12">
        <v>3007</v>
      </c>
      <c r="F34" s="6">
        <v>6560</v>
      </c>
    </row>
    <row r="35" spans="2:19" x14ac:dyDescent="0.25">
      <c r="B35" s="10" t="s">
        <v>82</v>
      </c>
      <c r="C35" s="11" t="s">
        <v>10</v>
      </c>
      <c r="D35" s="12">
        <v>15940</v>
      </c>
      <c r="F35" s="6">
        <v>21940</v>
      </c>
    </row>
    <row r="37" spans="2:19" ht="30" x14ac:dyDescent="0.25">
      <c r="B37" s="139" t="s">
        <v>84</v>
      </c>
      <c r="C37" s="11" t="s">
        <v>17</v>
      </c>
      <c r="D37" s="12">
        <v>507.79</v>
      </c>
      <c r="F37" s="6">
        <v>7507.79</v>
      </c>
      <c r="I37" s="6"/>
    </row>
    <row r="38" spans="2:19" x14ac:dyDescent="0.25">
      <c r="C38" s="11"/>
      <c r="D38" s="12"/>
      <c r="F38" s="6" t="s">
        <v>11</v>
      </c>
    </row>
    <row r="39" spans="2:19" ht="33.75" customHeight="1" x14ac:dyDescent="0.25">
      <c r="B39" s="139" t="s">
        <v>45</v>
      </c>
      <c r="C39" s="11" t="s">
        <v>18</v>
      </c>
      <c r="D39" s="12">
        <v>2665.69</v>
      </c>
      <c r="F39" s="6">
        <v>10665.69</v>
      </c>
      <c r="I39" s="6"/>
    </row>
    <row r="40" spans="2:19" x14ac:dyDescent="0.25">
      <c r="C40" s="11"/>
      <c r="D40" s="12"/>
      <c r="F40" s="6" t="s">
        <v>11</v>
      </c>
    </row>
    <row r="41" spans="2:19" x14ac:dyDescent="0.25">
      <c r="B41" s="139" t="s">
        <v>42</v>
      </c>
      <c r="C41" s="11" t="s">
        <v>19</v>
      </c>
      <c r="D41" s="12">
        <v>12979.05</v>
      </c>
      <c r="F41" s="6">
        <f>12979.05+11000</f>
        <v>23979.05</v>
      </c>
      <c r="I41" s="6"/>
    </row>
    <row r="43" spans="2:19" x14ac:dyDescent="0.25">
      <c r="D43" s="24" t="s">
        <v>92</v>
      </c>
      <c r="E43" s="15"/>
      <c r="F43" s="25" t="s">
        <v>93</v>
      </c>
    </row>
    <row r="44" spans="2:19" x14ac:dyDescent="0.25">
      <c r="B44" s="16" t="s">
        <v>85</v>
      </c>
      <c r="C44" s="11" t="s">
        <v>13</v>
      </c>
      <c r="D44" s="6">
        <v>512158.41</v>
      </c>
      <c r="F44" s="6">
        <v>698158.40999999992</v>
      </c>
      <c r="I44" s="6"/>
    </row>
    <row r="46" spans="2:19" x14ac:dyDescent="0.25">
      <c r="B46" s="16" t="s">
        <v>47</v>
      </c>
      <c r="C46" s="11" t="s">
        <v>20</v>
      </c>
      <c r="D46">
        <v>0</v>
      </c>
      <c r="F46">
        <v>0</v>
      </c>
    </row>
    <row r="47" spans="2:19" x14ac:dyDescent="0.25">
      <c r="B47" s="15"/>
      <c r="C47" s="11"/>
    </row>
    <row r="48" spans="2:19" x14ac:dyDescent="0.25">
      <c r="B48" s="16" t="s">
        <v>48</v>
      </c>
      <c r="C48" s="11" t="s">
        <v>12</v>
      </c>
      <c r="D48" s="6">
        <v>411110.97000000003</v>
      </c>
      <c r="F48" s="6">
        <v>485110.97</v>
      </c>
      <c r="I48" s="6"/>
    </row>
    <row r="49" spans="2:9" x14ac:dyDescent="0.25">
      <c r="B49" s="10" t="s">
        <v>81</v>
      </c>
      <c r="C49" s="11" t="s">
        <v>5</v>
      </c>
      <c r="D49" s="12">
        <v>279867.59000000003</v>
      </c>
      <c r="E49" s="21"/>
      <c r="F49" s="12">
        <v>344867.58999999997</v>
      </c>
      <c r="I49" s="6"/>
    </row>
    <row r="50" spans="2:9" x14ac:dyDescent="0.25">
      <c r="B50" s="10" t="s">
        <v>27</v>
      </c>
      <c r="C50" s="11" t="s">
        <v>6</v>
      </c>
      <c r="D50" s="12">
        <v>23281.72</v>
      </c>
      <c r="E50" s="2"/>
      <c r="F50" s="2">
        <v>28281.72</v>
      </c>
      <c r="I50" s="6"/>
    </row>
    <row r="51" spans="2:9" x14ac:dyDescent="0.25">
      <c r="B51" s="10" t="s">
        <v>76</v>
      </c>
      <c r="C51" s="11" t="s">
        <v>7</v>
      </c>
      <c r="D51" s="12">
        <v>79955.27</v>
      </c>
      <c r="E51" s="2"/>
      <c r="F51" s="2">
        <v>114955.27</v>
      </c>
      <c r="I51" s="6"/>
    </row>
    <row r="52" spans="2:9" x14ac:dyDescent="0.25">
      <c r="B52" s="10" t="s">
        <v>77</v>
      </c>
      <c r="C52" s="11" t="s">
        <v>8</v>
      </c>
      <c r="D52" s="12">
        <v>21835.37</v>
      </c>
      <c r="E52" s="2"/>
      <c r="F52" s="2">
        <v>835.36999999999898</v>
      </c>
      <c r="I52" s="6"/>
    </row>
    <row r="53" spans="2:9" x14ac:dyDescent="0.25">
      <c r="B53" s="10" t="s">
        <v>87</v>
      </c>
      <c r="C53" s="11" t="s">
        <v>9</v>
      </c>
      <c r="D53" s="12">
        <v>154795.23000000001</v>
      </c>
      <c r="E53" s="2"/>
      <c r="F53" s="2">
        <v>200795.23</v>
      </c>
      <c r="H53" s="2"/>
      <c r="I53" s="6"/>
    </row>
    <row r="54" spans="2:9" x14ac:dyDescent="0.25">
      <c r="B54" s="10" t="s">
        <v>82</v>
      </c>
      <c r="C54" s="11" t="s">
        <v>10</v>
      </c>
      <c r="D54" s="12">
        <v>131243.38</v>
      </c>
      <c r="E54" s="2"/>
      <c r="F54" s="2">
        <v>140243.38</v>
      </c>
      <c r="I54" s="6"/>
    </row>
    <row r="56" spans="2:9" x14ac:dyDescent="0.25">
      <c r="B56" s="16" t="s">
        <v>41</v>
      </c>
      <c r="C56" s="11" t="s">
        <v>14</v>
      </c>
      <c r="D56" s="20">
        <v>1682.3600000000001</v>
      </c>
      <c r="F56" s="20">
        <v>35682.36</v>
      </c>
      <c r="I56" s="6"/>
    </row>
    <row r="57" spans="2:9" x14ac:dyDescent="0.25">
      <c r="B57" s="10" t="s">
        <v>81</v>
      </c>
      <c r="C57" s="11" t="s">
        <v>5</v>
      </c>
      <c r="D57" s="20">
        <v>1677.3600000000001</v>
      </c>
      <c r="F57" s="20">
        <v>35677.360000000001</v>
      </c>
      <c r="I57" s="6"/>
    </row>
    <row r="58" spans="2:9" x14ac:dyDescent="0.25">
      <c r="B58" s="10" t="s">
        <v>27</v>
      </c>
      <c r="C58" s="11" t="s">
        <v>6</v>
      </c>
      <c r="D58" s="20">
        <v>0</v>
      </c>
      <c r="F58" s="20">
        <v>3000</v>
      </c>
      <c r="I58" s="6"/>
    </row>
    <row r="59" spans="2:9" x14ac:dyDescent="0.25">
      <c r="B59" s="10" t="s">
        <v>76</v>
      </c>
      <c r="C59" s="11" t="s">
        <v>7</v>
      </c>
      <c r="D59" s="12">
        <v>555.36</v>
      </c>
      <c r="E59" s="2"/>
      <c r="F59" s="2">
        <v>10555.36</v>
      </c>
      <c r="I59" s="6"/>
    </row>
    <row r="60" spans="2:9" x14ac:dyDescent="0.25">
      <c r="B60" s="10" t="s">
        <v>77</v>
      </c>
      <c r="C60" s="11" t="s">
        <v>8</v>
      </c>
      <c r="D60" s="12">
        <v>150</v>
      </c>
      <c r="E60" s="2"/>
      <c r="F60" s="2">
        <v>3150</v>
      </c>
      <c r="I60" s="6"/>
    </row>
    <row r="61" spans="2:9" x14ac:dyDescent="0.25">
      <c r="B61" s="10" t="s">
        <v>87</v>
      </c>
      <c r="C61" s="11" t="s">
        <v>9</v>
      </c>
      <c r="D61" s="12">
        <v>972</v>
      </c>
      <c r="E61" s="2"/>
      <c r="F61" s="2">
        <v>18972</v>
      </c>
      <c r="I61" s="6"/>
    </row>
    <row r="62" spans="2:9" x14ac:dyDescent="0.25">
      <c r="B62" s="10" t="s">
        <v>82</v>
      </c>
      <c r="C62" s="11" t="s">
        <v>10</v>
      </c>
      <c r="D62" s="12">
        <v>5</v>
      </c>
      <c r="E62" s="2"/>
      <c r="F62" s="2">
        <v>5</v>
      </c>
      <c r="I62" s="6"/>
    </row>
    <row r="63" spans="2:9" x14ac:dyDescent="0.25">
      <c r="E63" s="21"/>
    </row>
    <row r="64" spans="2:9" x14ac:dyDescent="0.25">
      <c r="B64" s="16" t="s">
        <v>40</v>
      </c>
      <c r="C64" s="11" t="s">
        <v>15</v>
      </c>
      <c r="D64" s="12">
        <v>18984</v>
      </c>
      <c r="F64" s="12">
        <v>18984</v>
      </c>
      <c r="I64" s="6"/>
    </row>
    <row r="65" spans="2:11" x14ac:dyDescent="0.25">
      <c r="B65" s="10" t="s">
        <v>81</v>
      </c>
      <c r="C65" s="11" t="s">
        <v>5</v>
      </c>
      <c r="D65" s="12">
        <v>16455</v>
      </c>
      <c r="F65" s="12">
        <v>16455</v>
      </c>
      <c r="I65" s="6"/>
    </row>
    <row r="66" spans="2:11" x14ac:dyDescent="0.25">
      <c r="B66" s="10" t="s">
        <v>76</v>
      </c>
      <c r="C66" s="11" t="s">
        <v>7</v>
      </c>
      <c r="D66" s="12">
        <v>16455</v>
      </c>
      <c r="F66" s="2">
        <v>16455</v>
      </c>
      <c r="I66" s="6"/>
    </row>
    <row r="67" spans="2:11" x14ac:dyDescent="0.25">
      <c r="B67" s="10" t="s">
        <v>82</v>
      </c>
      <c r="C67" s="11" t="s">
        <v>10</v>
      </c>
      <c r="D67">
        <v>2529</v>
      </c>
      <c r="F67" s="2">
        <v>2529</v>
      </c>
      <c r="I67" s="6"/>
    </row>
    <row r="69" spans="2:11" ht="30" x14ac:dyDescent="0.25">
      <c r="B69" s="139" t="s">
        <v>83</v>
      </c>
      <c r="C69" s="11" t="s">
        <v>16</v>
      </c>
      <c r="D69" s="12">
        <v>53909.459999999992</v>
      </c>
      <c r="E69" s="1"/>
      <c r="F69" s="12">
        <v>75909.459999999992</v>
      </c>
      <c r="I69" s="6"/>
      <c r="K69" s="6"/>
    </row>
    <row r="70" spans="2:11" x14ac:dyDescent="0.25">
      <c r="B70" s="10" t="s">
        <v>81</v>
      </c>
      <c r="C70" s="11" t="s">
        <v>5</v>
      </c>
      <c r="D70" s="12">
        <v>50920.399999999994</v>
      </c>
      <c r="E70" s="1"/>
      <c r="F70" s="12">
        <v>72920.399999999994</v>
      </c>
      <c r="I70" s="6"/>
    </row>
    <row r="71" spans="2:11" x14ac:dyDescent="0.25">
      <c r="B71" s="10" t="s">
        <v>27</v>
      </c>
      <c r="C71" s="11" t="s">
        <v>6</v>
      </c>
      <c r="D71" s="12">
        <v>6316.18</v>
      </c>
      <c r="E71" s="5"/>
      <c r="F71" s="5">
        <v>7316.18</v>
      </c>
      <c r="I71" s="6"/>
    </row>
    <row r="72" spans="2:11" x14ac:dyDescent="0.25">
      <c r="B72" s="10" t="s">
        <v>76</v>
      </c>
      <c r="C72" s="11" t="s">
        <v>7</v>
      </c>
      <c r="D72" s="12">
        <v>3005.99</v>
      </c>
      <c r="E72" s="5"/>
      <c r="F72" s="5">
        <v>7005.99</v>
      </c>
      <c r="I72" s="6"/>
    </row>
    <row r="73" spans="2:11" x14ac:dyDescent="0.25">
      <c r="B73" s="10" t="s">
        <v>77</v>
      </c>
      <c r="C73" s="11" t="s">
        <v>8</v>
      </c>
      <c r="D73" s="12">
        <v>32312.67</v>
      </c>
      <c r="E73" s="5"/>
      <c r="F73" s="5">
        <v>32312.67</v>
      </c>
      <c r="I73" s="6"/>
    </row>
    <row r="74" spans="2:11" x14ac:dyDescent="0.25">
      <c r="B74" s="10" t="s">
        <v>87</v>
      </c>
      <c r="C74" s="11" t="s">
        <v>9</v>
      </c>
      <c r="D74" s="12">
        <v>9285.56</v>
      </c>
      <c r="E74" s="5"/>
      <c r="F74" s="5">
        <v>26285.559999999998</v>
      </c>
      <c r="I74" s="6"/>
    </row>
    <row r="75" spans="2:11" x14ac:dyDescent="0.25">
      <c r="B75" s="10" t="s">
        <v>82</v>
      </c>
      <c r="C75" s="11" t="s">
        <v>10</v>
      </c>
      <c r="D75" s="12">
        <v>2989.06</v>
      </c>
      <c r="E75" s="5"/>
      <c r="F75" s="5">
        <v>2989.06</v>
      </c>
      <c r="I75" s="6"/>
    </row>
    <row r="77" spans="2:11" ht="30" x14ac:dyDescent="0.25">
      <c r="B77" s="139" t="s">
        <v>84</v>
      </c>
      <c r="C77" s="11" t="s">
        <v>17</v>
      </c>
      <c r="D77" s="12">
        <v>12876.55</v>
      </c>
      <c r="F77" s="2">
        <v>60876.55</v>
      </c>
      <c r="I77" s="6"/>
    </row>
    <row r="78" spans="2:11" x14ac:dyDescent="0.25">
      <c r="B78" s="15"/>
      <c r="C78" s="11"/>
      <c r="D78" s="12" t="s">
        <v>4</v>
      </c>
      <c r="F78" s="2"/>
    </row>
    <row r="79" spans="2:11" ht="30" x14ac:dyDescent="0.25">
      <c r="B79" s="139" t="s">
        <v>45</v>
      </c>
      <c r="C79" s="11" t="s">
        <v>18</v>
      </c>
      <c r="D79" s="12">
        <v>3312.22</v>
      </c>
      <c r="F79" s="2">
        <v>11312.22</v>
      </c>
      <c r="I79" s="6"/>
    </row>
    <row r="80" spans="2:11" x14ac:dyDescent="0.25">
      <c r="B80" s="15"/>
      <c r="C80" s="11"/>
      <c r="D80" s="12" t="s">
        <v>4</v>
      </c>
      <c r="F80" s="2"/>
    </row>
    <row r="81" spans="1:9" x14ac:dyDescent="0.25">
      <c r="A81" s="1"/>
      <c r="B81" s="16" t="s">
        <v>106</v>
      </c>
      <c r="C81" s="11" t="s">
        <v>19</v>
      </c>
      <c r="D81" s="12">
        <v>10282.85</v>
      </c>
      <c r="F81" s="2">
        <v>10282.85</v>
      </c>
      <c r="I81" s="6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FC869-814C-4D3E-88D1-A41FB55DCF79}">
  <sheetPr>
    <tabColor rgb="FF00B050"/>
  </sheetPr>
  <dimension ref="B2:S67"/>
  <sheetViews>
    <sheetView topLeftCell="A35" zoomScaleNormal="100" workbookViewId="0">
      <selection activeCell="B37" sqref="B37"/>
    </sheetView>
  </sheetViews>
  <sheetFormatPr defaultRowHeight="15" x14ac:dyDescent="0.25"/>
  <cols>
    <col min="1" max="1" width="3.5703125" customWidth="1"/>
    <col min="2" max="2" width="52.5703125" customWidth="1"/>
    <col min="3" max="4" width="15.5703125" customWidth="1"/>
    <col min="5" max="5" width="3.5703125" customWidth="1"/>
    <col min="6" max="6" width="15.5703125" customWidth="1"/>
  </cols>
  <sheetData>
    <row r="2" spans="2:9" x14ac:dyDescent="0.25">
      <c r="B2" s="8" t="s">
        <v>90</v>
      </c>
      <c r="C2" s="7"/>
      <c r="D2" s="119" t="str">
        <f>HYPERLINK("#Содержание!A1","К содержанию")</f>
        <v>К содержанию</v>
      </c>
      <c r="E2" s="7"/>
    </row>
    <row r="3" spans="2:9" x14ac:dyDescent="0.25">
      <c r="B3" s="8" t="s">
        <v>107</v>
      </c>
      <c r="C3" s="7"/>
      <c r="E3" s="7"/>
    </row>
    <row r="4" spans="2:9" x14ac:dyDescent="0.25">
      <c r="B4" s="9" t="s">
        <v>80</v>
      </c>
      <c r="C4" s="7"/>
      <c r="E4" s="7"/>
    </row>
    <row r="5" spans="2:9" x14ac:dyDescent="0.25">
      <c r="B5" s="9"/>
      <c r="C5" s="7"/>
      <c r="D5" s="24" t="s">
        <v>92</v>
      </c>
      <c r="E5" s="15"/>
      <c r="F5" s="25" t="s">
        <v>93</v>
      </c>
    </row>
    <row r="6" spans="2:9" x14ac:dyDescent="0.25">
      <c r="B6" s="16" t="s">
        <v>86</v>
      </c>
      <c r="C6" s="11" t="s">
        <v>13</v>
      </c>
      <c r="D6" s="23">
        <v>125256.16</v>
      </c>
      <c r="E6" s="1"/>
      <c r="F6" s="23">
        <v>167256.16000000003</v>
      </c>
      <c r="I6" s="6"/>
    </row>
    <row r="7" spans="2:9" x14ac:dyDescent="0.25">
      <c r="D7" s="1"/>
      <c r="E7" s="1"/>
      <c r="F7" s="1"/>
    </row>
    <row r="8" spans="2:9" x14ac:dyDescent="0.25">
      <c r="B8" s="16" t="s">
        <v>47</v>
      </c>
      <c r="C8" s="11" t="s">
        <v>20</v>
      </c>
      <c r="D8" s="12">
        <v>0</v>
      </c>
      <c r="E8" s="19"/>
      <c r="F8" s="12">
        <v>0</v>
      </c>
    </row>
    <row r="9" spans="2:9" x14ac:dyDescent="0.25">
      <c r="C9" s="11"/>
      <c r="D9" s="12" t="s">
        <v>4</v>
      </c>
      <c r="E9" s="19"/>
      <c r="F9" s="1"/>
    </row>
    <row r="10" spans="2:9" x14ac:dyDescent="0.25">
      <c r="B10" s="16" t="s">
        <v>48</v>
      </c>
      <c r="C10" s="11" t="s">
        <v>12</v>
      </c>
      <c r="D10" s="12">
        <f>+(D11+D13)</f>
        <v>42909.760000000002</v>
      </c>
      <c r="E10" s="19"/>
      <c r="F10" s="12">
        <f>+(F11+F13)</f>
        <v>21984.76</v>
      </c>
      <c r="I10" s="6"/>
    </row>
    <row r="11" spans="2:9" x14ac:dyDescent="0.25">
      <c r="B11" s="10" t="s">
        <v>81</v>
      </c>
      <c r="C11" s="11" t="s">
        <v>5</v>
      </c>
      <c r="D11" s="12">
        <f>(D12)</f>
        <v>42835</v>
      </c>
      <c r="E11" s="19"/>
      <c r="F11" s="12">
        <f>(F12)</f>
        <v>21910</v>
      </c>
      <c r="I11" s="6"/>
    </row>
    <row r="12" spans="2:9" x14ac:dyDescent="0.25">
      <c r="B12" s="10" t="s">
        <v>76</v>
      </c>
      <c r="C12" s="11" t="s">
        <v>7</v>
      </c>
      <c r="D12" s="12">
        <v>42835</v>
      </c>
      <c r="E12" s="5"/>
      <c r="F12" s="23">
        <v>21910</v>
      </c>
      <c r="I12" s="6"/>
    </row>
    <row r="13" spans="2:9" x14ac:dyDescent="0.25">
      <c r="B13" s="10" t="s">
        <v>82</v>
      </c>
      <c r="C13" s="11" t="s">
        <v>10</v>
      </c>
      <c r="D13" s="12">
        <v>74.760000000000005</v>
      </c>
      <c r="E13" s="5"/>
      <c r="F13" s="23">
        <v>74.760000000000005</v>
      </c>
      <c r="I13" s="6"/>
    </row>
    <row r="14" spans="2:9" x14ac:dyDescent="0.25">
      <c r="D14" s="1"/>
      <c r="E14" s="1"/>
      <c r="F14" s="1"/>
    </row>
    <row r="15" spans="2:9" x14ac:dyDescent="0.25">
      <c r="B15" s="16" t="s">
        <v>41</v>
      </c>
      <c r="C15" s="11" t="s">
        <v>14</v>
      </c>
      <c r="D15" s="12">
        <v>20354.72</v>
      </c>
      <c r="E15" s="1"/>
      <c r="F15" s="12">
        <v>27354.720000000001</v>
      </c>
      <c r="I15" s="6"/>
    </row>
    <row r="16" spans="2:9" x14ac:dyDescent="0.25">
      <c r="B16" s="10" t="s">
        <v>81</v>
      </c>
      <c r="C16" s="11" t="s">
        <v>5</v>
      </c>
      <c r="D16" s="12">
        <v>8327.56</v>
      </c>
      <c r="E16" s="1"/>
      <c r="F16" s="12">
        <v>12327.56</v>
      </c>
      <c r="I16" s="6"/>
    </row>
    <row r="17" spans="2:18" x14ac:dyDescent="0.25">
      <c r="B17" s="10" t="s">
        <v>27</v>
      </c>
      <c r="C17" s="11" t="s">
        <v>6</v>
      </c>
      <c r="D17" s="12">
        <v>0</v>
      </c>
      <c r="E17" s="1"/>
      <c r="F17" s="12">
        <v>0</v>
      </c>
      <c r="I17" s="6"/>
    </row>
    <row r="18" spans="2:18" x14ac:dyDescent="0.25">
      <c r="B18" s="10" t="s">
        <v>76</v>
      </c>
      <c r="C18" s="11" t="s">
        <v>7</v>
      </c>
      <c r="D18" s="12">
        <v>150</v>
      </c>
      <c r="E18" s="3"/>
      <c r="F18" s="23">
        <v>150</v>
      </c>
      <c r="I18" s="6"/>
    </row>
    <row r="19" spans="2:18" x14ac:dyDescent="0.25">
      <c r="B19" s="10" t="s">
        <v>77</v>
      </c>
      <c r="C19" s="11" t="s">
        <v>8</v>
      </c>
      <c r="D19" s="12">
        <v>8177.5599999999995</v>
      </c>
      <c r="E19" s="3"/>
      <c r="F19" s="23">
        <v>12177.56</v>
      </c>
      <c r="I19" s="6"/>
    </row>
    <row r="20" spans="2:18" x14ac:dyDescent="0.25">
      <c r="B20" s="10" t="s">
        <v>82</v>
      </c>
      <c r="C20" s="11" t="s">
        <v>10</v>
      </c>
      <c r="D20" s="12">
        <v>12027.16</v>
      </c>
      <c r="E20" s="3"/>
      <c r="F20" s="23">
        <v>15027.16</v>
      </c>
      <c r="I20" s="6"/>
    </row>
    <row r="21" spans="2:18" x14ac:dyDescent="0.25">
      <c r="D21" s="1"/>
      <c r="E21" s="1"/>
      <c r="F21" s="1"/>
    </row>
    <row r="22" spans="2:18" x14ac:dyDescent="0.25">
      <c r="B22" s="16" t="s">
        <v>40</v>
      </c>
      <c r="C22" s="11" t="s">
        <v>15</v>
      </c>
      <c r="D22" s="12">
        <v>825.42</v>
      </c>
      <c r="E22" s="1"/>
      <c r="F22" s="12">
        <v>3825.42</v>
      </c>
      <c r="I22" s="6"/>
    </row>
    <row r="23" spans="2:18" x14ac:dyDescent="0.25">
      <c r="B23" s="10" t="s">
        <v>81</v>
      </c>
      <c r="C23" s="11" t="s">
        <v>5</v>
      </c>
      <c r="D23" s="12">
        <v>825.42</v>
      </c>
      <c r="E23" s="1"/>
      <c r="F23" s="12">
        <v>3825.42</v>
      </c>
      <c r="I23" s="6"/>
    </row>
    <row r="24" spans="2:18" x14ac:dyDescent="0.25">
      <c r="B24" s="10" t="s">
        <v>27</v>
      </c>
      <c r="C24" s="11" t="s">
        <v>6</v>
      </c>
      <c r="D24" s="12">
        <v>161.41999999999999</v>
      </c>
      <c r="E24" s="5"/>
      <c r="F24" s="23">
        <v>161.41999999999999</v>
      </c>
      <c r="I24" s="6"/>
    </row>
    <row r="25" spans="2:18" x14ac:dyDescent="0.25">
      <c r="B25" s="10" t="s">
        <v>87</v>
      </c>
      <c r="C25" s="11" t="s">
        <v>9</v>
      </c>
      <c r="D25" s="12">
        <v>664</v>
      </c>
      <c r="E25" s="5"/>
      <c r="F25" s="23">
        <v>3664</v>
      </c>
      <c r="I25" s="6"/>
    </row>
    <row r="26" spans="2:18" x14ac:dyDescent="0.25">
      <c r="D26" s="1"/>
      <c r="E26" s="1"/>
      <c r="F26" s="1"/>
    </row>
    <row r="27" spans="2:18" ht="30" x14ac:dyDescent="0.25">
      <c r="B27" s="139" t="s">
        <v>83</v>
      </c>
      <c r="C27" s="11" t="s">
        <v>16</v>
      </c>
      <c r="D27" s="12">
        <v>61888.740000000005</v>
      </c>
      <c r="E27" s="1"/>
      <c r="F27" s="12">
        <v>65888.740000000005</v>
      </c>
      <c r="I27" s="6"/>
    </row>
    <row r="28" spans="2:18" x14ac:dyDescent="0.25">
      <c r="B28" s="10" t="s">
        <v>81</v>
      </c>
      <c r="C28" s="11" t="s">
        <v>5</v>
      </c>
      <c r="D28" s="12">
        <v>60957.740000000005</v>
      </c>
      <c r="E28" s="1"/>
      <c r="F28" s="12">
        <v>64957.740000000005</v>
      </c>
      <c r="I28" s="6"/>
    </row>
    <row r="29" spans="2:18" x14ac:dyDescent="0.25">
      <c r="B29" s="10" t="s">
        <v>27</v>
      </c>
      <c r="C29" s="11" t="s">
        <v>6</v>
      </c>
      <c r="D29" s="12">
        <v>28645.47</v>
      </c>
      <c r="E29" s="5"/>
      <c r="F29" s="23">
        <v>39141</v>
      </c>
      <c r="I29" s="6"/>
      <c r="K29" s="6"/>
      <c r="R29" s="6"/>
    </row>
    <row r="30" spans="2:18" x14ac:dyDescent="0.25">
      <c r="B30" s="10" t="s">
        <v>76</v>
      </c>
      <c r="C30" s="11" t="s">
        <v>7</v>
      </c>
      <c r="D30" s="12">
        <v>32312.27</v>
      </c>
      <c r="E30" s="5"/>
      <c r="F30" s="23">
        <v>37410</v>
      </c>
      <c r="I30" s="6"/>
    </row>
    <row r="31" spans="2:18" x14ac:dyDescent="0.25">
      <c r="B31" s="10" t="s">
        <v>82</v>
      </c>
      <c r="C31" s="11" t="s">
        <v>10</v>
      </c>
      <c r="D31" s="12">
        <v>931</v>
      </c>
      <c r="E31" s="5"/>
      <c r="F31" s="23">
        <v>931</v>
      </c>
      <c r="I31" s="6"/>
      <c r="K31" s="6"/>
      <c r="R31" s="6"/>
    </row>
    <row r="32" spans="2:18" x14ac:dyDescent="0.25">
      <c r="D32" s="1"/>
      <c r="E32" s="1"/>
      <c r="F32" s="1"/>
    </row>
    <row r="33" spans="2:19" ht="30" x14ac:dyDescent="0.25">
      <c r="B33" s="139" t="s">
        <v>84</v>
      </c>
      <c r="C33" s="11" t="s">
        <v>17</v>
      </c>
      <c r="D33" s="12">
        <v>48.17</v>
      </c>
      <c r="E33" s="1"/>
      <c r="F33" s="23">
        <v>1048.17</v>
      </c>
      <c r="I33" s="6"/>
    </row>
    <row r="34" spans="2:19" x14ac:dyDescent="0.25">
      <c r="B34" s="22"/>
      <c r="C34" s="11"/>
      <c r="D34" s="12"/>
      <c r="E34" s="1"/>
      <c r="F34" s="23"/>
    </row>
    <row r="35" spans="2:19" ht="30" x14ac:dyDescent="0.25">
      <c r="B35" s="139" t="s">
        <v>45</v>
      </c>
      <c r="C35" s="11" t="s">
        <v>18</v>
      </c>
      <c r="D35" s="12">
        <v>0</v>
      </c>
      <c r="E35" s="1"/>
      <c r="F35" s="23">
        <v>0</v>
      </c>
      <c r="L35" s="6"/>
      <c r="S35" s="6"/>
    </row>
    <row r="36" spans="2:19" x14ac:dyDescent="0.25">
      <c r="C36" s="11"/>
      <c r="D36" s="12"/>
      <c r="E36" s="1"/>
      <c r="F36" s="23"/>
    </row>
    <row r="37" spans="2:19" x14ac:dyDescent="0.25">
      <c r="B37" s="16" t="s">
        <v>42</v>
      </c>
      <c r="C37" s="11" t="s">
        <v>19</v>
      </c>
      <c r="D37" s="12">
        <v>20228.98</v>
      </c>
      <c r="E37" s="1"/>
      <c r="F37" s="23">
        <v>26228.98</v>
      </c>
      <c r="I37" s="6"/>
    </row>
    <row r="38" spans="2:19" x14ac:dyDescent="0.25">
      <c r="D38" s="1"/>
      <c r="E38" s="1"/>
      <c r="F38" s="1"/>
    </row>
    <row r="39" spans="2:19" x14ac:dyDescent="0.25">
      <c r="D39" s="24" t="s">
        <v>92</v>
      </c>
      <c r="E39" s="15"/>
      <c r="F39" s="25" t="s">
        <v>93</v>
      </c>
    </row>
    <row r="40" spans="2:19" x14ac:dyDescent="0.25">
      <c r="B40" s="16" t="s">
        <v>85</v>
      </c>
      <c r="C40" s="11" t="s">
        <v>13</v>
      </c>
      <c r="D40" s="23">
        <v>339882.72</v>
      </c>
      <c r="E40" s="1"/>
      <c r="F40" s="23">
        <v>431882.72</v>
      </c>
      <c r="I40" s="6"/>
    </row>
    <row r="41" spans="2:19" x14ac:dyDescent="0.25">
      <c r="D41" s="1"/>
      <c r="E41" s="1"/>
      <c r="F41" s="1"/>
    </row>
    <row r="42" spans="2:19" x14ac:dyDescent="0.25">
      <c r="B42" s="16" t="s">
        <v>47</v>
      </c>
      <c r="C42" s="11" t="s">
        <v>20</v>
      </c>
      <c r="D42" s="12">
        <v>0</v>
      </c>
      <c r="E42" s="1"/>
      <c r="F42" s="12">
        <v>0</v>
      </c>
    </row>
    <row r="43" spans="2:19" x14ac:dyDescent="0.25">
      <c r="B43" s="11"/>
      <c r="C43" s="12" t="s">
        <v>4</v>
      </c>
      <c r="D43" s="19"/>
      <c r="E43" s="1"/>
      <c r="F43" s="1"/>
    </row>
    <row r="44" spans="2:19" x14ac:dyDescent="0.25">
      <c r="B44" s="16" t="s">
        <v>48</v>
      </c>
      <c r="C44" s="11" t="s">
        <v>12</v>
      </c>
      <c r="D44" s="12">
        <v>818.61</v>
      </c>
      <c r="E44" s="1"/>
      <c r="F44" s="12">
        <v>1818.61</v>
      </c>
      <c r="I44" s="6"/>
    </row>
    <row r="45" spans="2:19" x14ac:dyDescent="0.25">
      <c r="B45" s="10" t="s">
        <v>81</v>
      </c>
      <c r="C45" s="11" t="s">
        <v>5</v>
      </c>
      <c r="D45" s="12">
        <v>750</v>
      </c>
      <c r="E45" s="1"/>
      <c r="F45" s="12">
        <v>1750</v>
      </c>
      <c r="I45" s="6"/>
    </row>
    <row r="46" spans="2:19" x14ac:dyDescent="0.25">
      <c r="B46" s="10" t="s">
        <v>76</v>
      </c>
      <c r="C46" s="11" t="s">
        <v>7</v>
      </c>
      <c r="D46" s="12">
        <v>750</v>
      </c>
      <c r="E46" s="1"/>
      <c r="F46" s="23">
        <v>1750</v>
      </c>
      <c r="I46" s="6"/>
    </row>
    <row r="47" spans="2:19" x14ac:dyDescent="0.25">
      <c r="B47" s="10" t="s">
        <v>82</v>
      </c>
      <c r="C47" s="11" t="s">
        <v>10</v>
      </c>
      <c r="D47" s="12">
        <v>68.61</v>
      </c>
      <c r="E47" s="1"/>
      <c r="F47" s="23">
        <v>68.61</v>
      </c>
      <c r="I47" s="6"/>
    </row>
    <row r="48" spans="2:19" x14ac:dyDescent="0.25">
      <c r="D48" s="1"/>
      <c r="E48" s="1"/>
      <c r="F48" s="1"/>
    </row>
    <row r="49" spans="2:12" x14ac:dyDescent="0.25">
      <c r="B49" s="16" t="s">
        <v>41</v>
      </c>
      <c r="C49" s="11" t="s">
        <v>14</v>
      </c>
      <c r="D49" s="12">
        <v>73929</v>
      </c>
      <c r="E49" s="1"/>
      <c r="F49" s="12">
        <v>128929</v>
      </c>
      <c r="I49" s="6"/>
      <c r="K49" s="6"/>
      <c r="L49" s="6"/>
    </row>
    <row r="50" spans="2:12" x14ac:dyDescent="0.25">
      <c r="B50" s="10" t="s">
        <v>81</v>
      </c>
      <c r="C50" s="11" t="s">
        <v>5</v>
      </c>
      <c r="D50" s="12">
        <v>31370.999999999996</v>
      </c>
      <c r="E50" s="1"/>
      <c r="F50" s="12">
        <v>76371</v>
      </c>
      <c r="I50" s="12"/>
      <c r="K50" s="6"/>
    </row>
    <row r="51" spans="2:12" x14ac:dyDescent="0.25">
      <c r="B51" s="10" t="s">
        <v>27</v>
      </c>
      <c r="C51" s="11" t="s">
        <v>6</v>
      </c>
      <c r="D51" s="12">
        <v>1088.1100000000001</v>
      </c>
      <c r="E51" s="3"/>
      <c r="F51" s="23">
        <v>4088.11</v>
      </c>
      <c r="I51" s="6"/>
    </row>
    <row r="52" spans="2:12" x14ac:dyDescent="0.25">
      <c r="B52" s="10" t="s">
        <v>76</v>
      </c>
      <c r="C52" s="11" t="s">
        <v>7</v>
      </c>
      <c r="D52" s="12">
        <v>19403.03</v>
      </c>
      <c r="E52" s="3"/>
      <c r="F52" s="23">
        <v>31403.03</v>
      </c>
      <c r="I52" s="6"/>
    </row>
    <row r="53" spans="2:12" x14ac:dyDescent="0.25">
      <c r="B53" s="10" t="s">
        <v>77</v>
      </c>
      <c r="C53" s="11" t="s">
        <v>8</v>
      </c>
      <c r="D53" s="12">
        <v>8177.5599999999995</v>
      </c>
      <c r="E53" s="3"/>
      <c r="F53" s="23">
        <v>12177.56</v>
      </c>
      <c r="I53" s="6"/>
    </row>
    <row r="54" spans="2:12" x14ac:dyDescent="0.25">
      <c r="B54" s="10" t="s">
        <v>87</v>
      </c>
      <c r="C54" s="11" t="s">
        <v>9</v>
      </c>
      <c r="D54" s="12">
        <v>2702.3</v>
      </c>
      <c r="E54" s="3"/>
      <c r="F54" s="23">
        <v>28702.3</v>
      </c>
      <c r="I54" s="6"/>
    </row>
    <row r="55" spans="2:12" x14ac:dyDescent="0.25">
      <c r="B55" s="10" t="s">
        <v>82</v>
      </c>
      <c r="C55" s="11" t="s">
        <v>10</v>
      </c>
      <c r="D55" s="12">
        <v>42558</v>
      </c>
      <c r="E55" s="3"/>
      <c r="F55" s="23">
        <v>52558</v>
      </c>
      <c r="I55" s="6"/>
    </row>
    <row r="56" spans="2:12" x14ac:dyDescent="0.25">
      <c r="D56" s="1"/>
      <c r="E56" s="1"/>
      <c r="F56" s="1"/>
    </row>
    <row r="57" spans="2:12" x14ac:dyDescent="0.25">
      <c r="B57" s="16" t="s">
        <v>40</v>
      </c>
      <c r="C57" s="11" t="s">
        <v>15</v>
      </c>
      <c r="D57" s="12">
        <v>244690.11</v>
      </c>
      <c r="E57" s="1"/>
      <c r="F57" s="12">
        <v>250690.11</v>
      </c>
      <c r="I57" s="6"/>
    </row>
    <row r="58" spans="2:12" x14ac:dyDescent="0.25">
      <c r="B58" s="10" t="s">
        <v>81</v>
      </c>
      <c r="C58" s="11" t="s">
        <v>5</v>
      </c>
      <c r="D58" s="12">
        <v>16080</v>
      </c>
      <c r="E58" s="1"/>
      <c r="F58" s="12">
        <v>19080</v>
      </c>
      <c r="I58" s="6"/>
    </row>
    <row r="59" spans="2:12" x14ac:dyDescent="0.25">
      <c r="B59" s="10" t="s">
        <v>27</v>
      </c>
      <c r="C59" s="11" t="s">
        <v>6</v>
      </c>
      <c r="D59" s="12">
        <v>169</v>
      </c>
      <c r="E59" s="5"/>
      <c r="F59" s="23">
        <v>169</v>
      </c>
      <c r="I59" s="6"/>
    </row>
    <row r="60" spans="2:12" x14ac:dyDescent="0.25">
      <c r="B60" s="10" t="s">
        <v>76</v>
      </c>
      <c r="C60" s="11" t="s">
        <v>7</v>
      </c>
      <c r="D60" s="12">
        <v>15911</v>
      </c>
      <c r="E60" s="5"/>
      <c r="F60" s="23">
        <v>18911</v>
      </c>
      <c r="I60" s="6"/>
    </row>
    <row r="61" spans="2:12" x14ac:dyDescent="0.25">
      <c r="B61" s="10" t="s">
        <v>82</v>
      </c>
      <c r="C61" s="11" t="s">
        <v>10</v>
      </c>
      <c r="D61" s="12">
        <v>228610.11</v>
      </c>
      <c r="E61" s="5"/>
      <c r="F61" s="23">
        <v>231610.11</v>
      </c>
      <c r="I61" s="6"/>
    </row>
    <row r="62" spans="2:12" x14ac:dyDescent="0.25">
      <c r="D62" s="1"/>
      <c r="E62" s="1"/>
      <c r="F62" s="23"/>
    </row>
    <row r="63" spans="2:12" ht="30" x14ac:dyDescent="0.25">
      <c r="B63" s="139" t="s">
        <v>84</v>
      </c>
      <c r="C63" s="11" t="s">
        <v>17</v>
      </c>
      <c r="D63" s="12">
        <v>0</v>
      </c>
      <c r="E63" s="1"/>
      <c r="F63" s="23">
        <v>0</v>
      </c>
    </row>
    <row r="64" spans="2:12" x14ac:dyDescent="0.25">
      <c r="B64" s="22"/>
      <c r="C64" s="11"/>
      <c r="D64" s="12" t="s">
        <v>4</v>
      </c>
      <c r="E64" s="1"/>
      <c r="F64" s="23"/>
    </row>
    <row r="65" spans="2:9" ht="35.25" customHeight="1" x14ac:dyDescent="0.25">
      <c r="B65" s="139" t="s">
        <v>45</v>
      </c>
      <c r="C65" s="11" t="s">
        <v>18</v>
      </c>
      <c r="D65" s="12">
        <v>3897</v>
      </c>
      <c r="E65" s="1"/>
      <c r="F65" s="23">
        <v>3897</v>
      </c>
      <c r="I65" s="6"/>
    </row>
    <row r="66" spans="2:9" x14ac:dyDescent="0.25">
      <c r="B66" s="22"/>
      <c r="C66" s="11"/>
      <c r="D66" s="12" t="s">
        <v>4</v>
      </c>
      <c r="E66" s="1"/>
      <c r="F66" s="23"/>
    </row>
    <row r="67" spans="2:9" x14ac:dyDescent="0.25">
      <c r="B67" s="139" t="s">
        <v>106</v>
      </c>
      <c r="C67" s="11" t="s">
        <v>19</v>
      </c>
      <c r="D67" s="12">
        <v>16548</v>
      </c>
      <c r="E67" s="1"/>
      <c r="F67" s="23">
        <v>46548</v>
      </c>
      <c r="I67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85ec44e-1bab-4c0b-9df0-6ba128686fc9" xsi:nil="true"/>
    <TaxKeywordTaxHTField xmlns="dd774590-caf2-40ff-b04f-1e20d86f2c70">
      <Terms xmlns="http://schemas.microsoft.com/office/infopath/2007/PartnerControls"/>
    </TaxKeywordTaxHTField>
    <Category xmlns="c39ac8e3-0f08-4b7d-bd41-28055cb5e628" xsi:nil="true"/>
    <lcf76f155ced4ddcb4097134ff3c332f xmlns="c39ac8e3-0f08-4b7d-bd41-28055cb5e62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00F2F1E960B64FAC22A58E2A2AE8B9" ma:contentTypeVersion="35" ma:contentTypeDescription="Create a new document." ma:contentTypeScope="" ma:versionID="a784abaa0ace0ffca27987e9fe577cd7">
  <xsd:schema xmlns:xsd="http://www.w3.org/2001/XMLSchema" xmlns:xs="http://www.w3.org/2001/XMLSchema" xmlns:p="http://schemas.microsoft.com/office/2006/metadata/properties" xmlns:ns2="dd774590-caf2-40ff-b04f-1e20d86f2c70" xmlns:ns3="c39ac8e3-0f08-4b7d-bd41-28055cb5e628" xmlns:ns4="985ec44e-1bab-4c0b-9df0-6ba128686fc9" targetNamespace="http://schemas.microsoft.com/office/2006/metadata/properties" ma:root="true" ma:fieldsID="33ecc78cb89bdf11cf2baaa180c6e4b6" ns2:_="" ns3:_="" ns4:_="">
    <xsd:import namespace="dd774590-caf2-40ff-b04f-1e20d86f2c70"/>
    <xsd:import namespace="c39ac8e3-0f08-4b7d-bd41-28055cb5e628"/>
    <xsd:import namespace="985ec44e-1bab-4c0b-9df0-6ba128686fc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2:SharedWithUsers" minOccurs="0"/>
                <xsd:element ref="ns2:SharedWithDetails" minOccurs="0"/>
                <xsd:element ref="ns3:MediaServiceLocation" minOccurs="0"/>
                <xsd:element ref="ns2:TaxKeywordTaxHTField" minOccurs="0"/>
                <xsd:element ref="ns4:TaxCatchAll" minOccurs="0"/>
                <xsd:element ref="ns3:Category" minOccurs="0"/>
                <xsd:element ref="ns3:MediaLengthInSeconds" minOccurs="0"/>
                <xsd:element ref="ns3:lcf76f155ced4ddcb4097134ff3c332f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774590-caf2-40ff-b04f-1e20d86f2c7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hidden="true" ma:internalName="SharedWithDetails" ma:readOnly="true">
      <xsd:simpleType>
        <xsd:restriction base="dms:Note"/>
      </xsd:simple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78175662-8596-484a-92c7-351d01561e2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9ac8e3-0f08-4b7d-bd41-28055cb5e6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9" nillable="true" ma:displayName="KeyPoints" ma:hidden="true" ma:internalName="MediaServiceKeyPoints" ma:readOnly="true">
      <xsd:simpleType>
        <xsd:restriction base="dms:Note"/>
      </xsd:simpleType>
    </xsd:element>
    <xsd:element name="MediaServiceAutoTags" ma:index="10" nillable="true" ma:displayName="Tags" ma:description="" ma:hidden="true" ma:indexed="true" ma:internalName="MediaServiceAutoTags" ma:readOnly="true">
      <xsd:simpleType>
        <xsd:restriction base="dms:Text"/>
      </xsd:simpleType>
    </xsd:element>
    <xsd:element name="MediaServiceOCR" ma:index="11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hidden="true" ma:internalName="MediaServiceLocation" ma:readOnly="true">
      <xsd:simpleType>
        <xsd:restriction base="dms:Text"/>
      </xsd:simpleType>
    </xsd:element>
    <xsd:element name="Category" ma:index="24" nillable="true" ma:displayName="Category" ma:format="Dropdown" ma:internalName="Category">
      <xsd:simpleType>
        <xsd:restriction base="dms:Text">
          <xsd:maxLength value="255"/>
        </xsd:restriction>
      </xsd:simpleType>
    </xsd:element>
    <xsd:element name="MediaLengthInSeconds" ma:index="2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9" nillable="true" ma:taxonomy="true" ma:internalName="lcf76f155ced4ddcb4097134ff3c332f" ma:taxonomyFieldName="MediaServiceImageTags" ma:displayName="Image Tags" ma:readOnly="false" ma:fieldId="{5cf76f15-5ced-4ddc-b409-7134ff3c332f}" ma:taxonomyMulti="true" ma:sspId="78175662-8596-484a-92c7-351d01561e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ec44e-1bab-4c0b-9df0-6ba128686fc9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e719dce3-84fe-4056-94cd-88c297797000}" ma:internalName="TaxCatchAll" ma:readOnly="false" ma:showField="CatchAllData" ma:web="dd774590-caf2-40ff-b04f-1e20d86f2c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 ma:index="23" ma:displayName="Subject"/>
        <xsd:element ref="dc:description" minOccurs="0" maxOccurs="1" ma:index="25" ma:displayName="Comments"/>
        <xsd:element name="keywords" minOccurs="0" maxOccurs="1" type="xsd:string"/>
        <xsd:element ref="dc:language" minOccurs="0" maxOccurs="1"/>
        <xsd:element name="category" minOccurs="0" maxOccurs="1" type="xsd:string" ma:index="26" ma:displayName="Category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876691-4A71-4BF9-8EA3-9B065A0025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9A72D0-A651-4E4E-A0C2-FEAD57CC7CEE}">
  <ds:schemaRefs>
    <ds:schemaRef ds:uri="http://schemas.microsoft.com/office/2006/metadata/properties"/>
    <ds:schemaRef ds:uri="http://schemas.microsoft.com/office/infopath/2007/PartnerControls"/>
    <ds:schemaRef ds:uri="985ec44e-1bab-4c0b-9df0-6ba128686fc9"/>
    <ds:schemaRef ds:uri="dd774590-caf2-40ff-b04f-1e20d86f2c70"/>
    <ds:schemaRef ds:uri="c39ac8e3-0f08-4b7d-bd41-28055cb5e628"/>
  </ds:schemaRefs>
</ds:datastoreItem>
</file>

<file path=customXml/itemProps3.xml><?xml version="1.0" encoding="utf-8"?>
<ds:datastoreItem xmlns:ds="http://schemas.openxmlformats.org/officeDocument/2006/customXml" ds:itemID="{7B6D0978-D817-4543-816A-4E25BC6BC0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774590-caf2-40ff-b04f-1e20d86f2c70"/>
    <ds:schemaRef ds:uri="c39ac8e3-0f08-4b7d-bd41-28055cb5e628"/>
    <ds:schemaRef ds:uri="985ec44e-1bab-4c0b-9df0-6ba128686f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Содержание</vt:lpstr>
      <vt:lpstr>Инструкция</vt:lpstr>
      <vt:lpstr>Шаблон ЧКЗ</vt:lpstr>
      <vt:lpstr>От кого к кому</vt:lpstr>
      <vt:lpstr>NLB</vt:lpstr>
      <vt:lpstr>calc</vt:lpstr>
      <vt:lpstr>NFC_A_L</vt:lpstr>
      <vt:lpstr>FC_A_L</vt:lpstr>
      <vt:lpstr>GG_A_L</vt:lpstr>
      <vt:lpstr>HH_A_L</vt:lpstr>
      <vt:lpstr>ROW_A_L</vt:lpstr>
    </vt:vector>
  </TitlesOfParts>
  <Company>International Monetary Fund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VJOSYULA</dc:creator>
  <cp:lastModifiedBy>Oleksandr Svirchevskyy</cp:lastModifiedBy>
  <cp:lastPrinted>2016-06-16T14:46:41Z</cp:lastPrinted>
  <dcterms:created xsi:type="dcterms:W3CDTF">2015-04-02T21:53:23Z</dcterms:created>
  <dcterms:modified xsi:type="dcterms:W3CDTF">2023-10-09T14:40:53Z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0c07ed86-5dc5-4593-ad03-a8684b843815_Enabled">
    <vt:lpwstr>true</vt:lpwstr>
  </property>
  <property fmtid="{D5CDD505-2E9C-101B-9397-08002B2CF9AE}" pid="4" name="MSIP_Label_0c07ed86-5dc5-4593-ad03-a8684b843815_SetDate">
    <vt:lpwstr>2023-08-15T13:20:24Z</vt:lpwstr>
  </property>
  <property fmtid="{D5CDD505-2E9C-101B-9397-08002B2CF9AE}" pid="5" name="MSIP_Label_0c07ed86-5dc5-4593-ad03-a8684b843815_Method">
    <vt:lpwstr>Standard</vt:lpwstr>
  </property>
  <property fmtid="{D5CDD505-2E9C-101B-9397-08002B2CF9AE}" pid="6" name="MSIP_Label_0c07ed86-5dc5-4593-ad03-a8684b843815_Name">
    <vt:lpwstr>0c07ed86-5dc5-4593-ad03-a8684b843815</vt:lpwstr>
  </property>
  <property fmtid="{D5CDD505-2E9C-101B-9397-08002B2CF9AE}" pid="7" name="MSIP_Label_0c07ed86-5dc5-4593-ad03-a8684b843815_SiteId">
    <vt:lpwstr>8085fa43-302e-45bd-b171-a6648c3b6be7</vt:lpwstr>
  </property>
  <property fmtid="{D5CDD505-2E9C-101B-9397-08002B2CF9AE}" pid="8" name="MSIP_Label_0c07ed86-5dc5-4593-ad03-a8684b843815_ActionId">
    <vt:lpwstr>ccd81c0c-9066-4e29-8f6f-c5a44b6eed8d</vt:lpwstr>
  </property>
  <property fmtid="{D5CDD505-2E9C-101B-9397-08002B2CF9AE}" pid="9" name="MSIP_Label_0c07ed86-5dc5-4593-ad03-a8684b843815_ContentBits">
    <vt:lpwstr>0</vt:lpwstr>
  </property>
  <property fmtid="{D5CDD505-2E9C-101B-9397-08002B2CF9AE}" pid="10" name="TaxKeyword">
    <vt:lpwstr/>
  </property>
  <property fmtid="{D5CDD505-2E9C-101B-9397-08002B2CF9AE}" pid="11" name="ContentTypeId">
    <vt:lpwstr>0x010100AC00F2F1E960B64FAC22A58E2A2AE8B9</vt:lpwstr>
  </property>
  <property fmtid="{D5CDD505-2E9C-101B-9397-08002B2CF9AE}" pid="12" name="MediaServiceImageTags">
    <vt:lpwstr/>
  </property>
</Properties>
</file>