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8_{D5845363-172A-4AAB-AF6D-FDF3F35BDFC3}" xr6:coauthVersionLast="47" xr6:coauthVersionMax="47" xr10:uidLastSave="{00000000-0000-0000-0000-000000000000}"/>
  <bookViews>
    <workbookView xWindow="-120" yWindow="-120" windowWidth="38640" windowHeight="21120" tabRatio="867" xr2:uid="{00000000-000D-0000-FFFF-FFFF00000000}"/>
  </bookViews>
  <sheets>
    <sheet name="(0) Instructions" sheetId="193" r:id="rId1"/>
    <sheet name="(0) Data Tracking" sheetId="194" r:id="rId2"/>
    <sheet name="(1) Vehicle Data" sheetId="189" r:id="rId3"/>
    <sheet name="(2) Annex 3 - Data" sheetId="188" r:id="rId4"/>
    <sheet name="(3) Annex 9 - Setup Data" sheetId="187" r:id="rId5"/>
    <sheet name="(3a) A9 - Tyre Rolling Sound" sheetId="191" r:id="rId6"/>
    <sheet name="(4) A9 - Test Report Sheet" sheetId="185" r:id="rId7"/>
    <sheet name="(4a) A9 - SUB Calculation" sheetId="190" r:id="rId8"/>
    <sheet name="(4b) A9 - Parameter Table" sheetId="183" r:id="rId9"/>
    <sheet name="(5) Questionnaire" sheetId="192" r:id="rId10"/>
  </sheets>
  <definedNames>
    <definedName name="_xlnm.Print_Area" localSheetId="1">'(0) Data Tracking'!$A$1:$B$4</definedName>
    <definedName name="_xlnm.Print_Area" localSheetId="2">'(1) Vehicle Data'!$A$2:$E$69</definedName>
    <definedName name="_xlnm.Print_Area" localSheetId="3">'(2) Annex 3 - Data'!$A$1:$E$47</definedName>
    <definedName name="_xlnm.Print_Area" localSheetId="5">'(3a) A9 - Tyre Rolling Sound'!$A$1:$F$20</definedName>
    <definedName name="_xlnm.Print_Area" localSheetId="6">'(4) A9 - Test Report Sheet'!$A$1:$AA$42</definedName>
    <definedName name="_xlnm.Print_Area" localSheetId="7">'(4a) A9 - SUB Calculation'!$B$1:$H$29</definedName>
    <definedName name="_xlnm.Print_Area" localSheetId="8">'(4b) A9 - Parameter Table'!$A$1:$G$16</definedName>
    <definedName name="Z_C0223898_2DB3_485F_A6E2_8575C6691491_.wvu.PrintArea" localSheetId="1" hidden="1">'(0) Data Tracking'!$A$1:$B$4</definedName>
    <definedName name="Z_C0223898_2DB3_485F_A6E2_8575C6691491_.wvu.PrintArea" localSheetId="2" hidden="1">'(1) Vehicle Data'!$A$2:$E$69</definedName>
    <definedName name="Z_C0223898_2DB3_485F_A6E2_8575C6691491_.wvu.PrintArea" localSheetId="6" hidden="1">'(4) A9 - Test Report Sheet'!$A$1:$AA$42</definedName>
    <definedName name="Z_C0223898_2DB3_485F_A6E2_8575C6691491_.wvu.PrintArea" localSheetId="8" hidden="1">'(4b) A9 - Parameter Table'!$A$1:$G$16</definedName>
  </definedNames>
  <calcPr calcId="191029"/>
  <customWorkbookViews>
    <customWorkbookView name="TEST" guid="{C0223898-2DB3-485F-A6E2-8575C6691491}" maximized="1" xWindow="-8" yWindow="-8" windowWidth="2576" windowHeight="1416" tabRatio="972" activeSheetId="189"/>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2" i="187" l="1"/>
  <c r="H33" i="187"/>
  <c r="H34" i="187"/>
  <c r="H35" i="187"/>
  <c r="H36" i="187"/>
  <c r="H37" i="187"/>
  <c r="H38" i="187"/>
  <c r="H39" i="187"/>
  <c r="H40" i="187"/>
  <c r="H31" i="187"/>
  <c r="C5" i="185"/>
  <c r="H23" i="187" l="1"/>
  <c r="H22" i="187"/>
  <c r="K22" i="187" s="1"/>
  <c r="H21" i="187"/>
  <c r="K25" i="187"/>
  <c r="F19" i="191"/>
  <c r="K19" i="187" l="1"/>
  <c r="K21" i="187" s="1"/>
  <c r="H19" i="187"/>
  <c r="B42" i="187"/>
  <c r="I38" i="187" s="1"/>
  <c r="J5" i="187"/>
  <c r="K5" i="187" s="1"/>
  <c r="B10" i="187"/>
  <c r="B9" i="187"/>
  <c r="K13" i="187"/>
  <c r="J13" i="187"/>
  <c r="K14" i="187"/>
  <c r="F6" i="191"/>
  <c r="F7" i="191"/>
  <c r="F8" i="191"/>
  <c r="F9" i="191"/>
  <c r="F10" i="191"/>
  <c r="F11" i="191"/>
  <c r="F12" i="191"/>
  <c r="F13" i="191"/>
  <c r="F14" i="191"/>
  <c r="F5" i="191"/>
  <c r="E6" i="191"/>
  <c r="E7" i="191"/>
  <c r="E8" i="191"/>
  <c r="E9" i="191"/>
  <c r="E10" i="191"/>
  <c r="E11" i="191"/>
  <c r="E12" i="191"/>
  <c r="E13" i="191"/>
  <c r="E14" i="191"/>
  <c r="E5" i="191"/>
  <c r="F17" i="191"/>
  <c r="Z8" i="185"/>
  <c r="S8" i="185"/>
  <c r="I36" i="187" l="1"/>
  <c r="I40" i="187"/>
  <c r="I39" i="187"/>
  <c r="I37" i="187"/>
  <c r="B18" i="190"/>
  <c r="B29" i="190"/>
  <c r="C29" i="190" s="1"/>
  <c r="B19" i="190"/>
  <c r="B23" i="190"/>
  <c r="C23" i="190" s="1"/>
  <c r="B28" i="190"/>
  <c r="C28" i="190" s="1"/>
  <c r="B20" i="190"/>
  <c r="C20" i="190" s="1"/>
  <c r="B27" i="190"/>
  <c r="C27" i="190" s="1"/>
  <c r="B21" i="190"/>
  <c r="C21" i="190" s="1"/>
  <c r="B22" i="190"/>
  <c r="C22" i="190" s="1"/>
  <c r="B16" i="190"/>
  <c r="B26" i="190"/>
  <c r="C26" i="190" s="1"/>
  <c r="B25" i="190"/>
  <c r="C25" i="190" s="1"/>
  <c r="B17" i="190"/>
  <c r="E23" i="190"/>
  <c r="E28" i="190"/>
  <c r="E20" i="190"/>
  <c r="E29" i="190"/>
  <c r="E26" i="190"/>
  <c r="E22" i="190"/>
  <c r="F28" i="190"/>
  <c r="W37" i="185" s="1"/>
  <c r="F26" i="190"/>
  <c r="W35" i="185" s="1"/>
  <c r="F29" i="190"/>
  <c r="W38" i="185" s="1"/>
  <c r="F27" i="190"/>
  <c r="W36" i="185" s="1"/>
  <c r="F25" i="190"/>
  <c r="W34" i="185" s="1"/>
  <c r="F12" i="190"/>
  <c r="F20" i="190"/>
  <c r="W29" i="185" s="1"/>
  <c r="F9" i="190"/>
  <c r="F13" i="190"/>
  <c r="F21" i="190"/>
  <c r="W30" i="185" s="1"/>
  <c r="F14" i="190"/>
  <c r="F22" i="190"/>
  <c r="W31" i="185" s="1"/>
  <c r="F17" i="190"/>
  <c r="F15" i="190"/>
  <c r="F23" i="190"/>
  <c r="W32" i="185" s="1"/>
  <c r="F16" i="190"/>
  <c r="F10" i="190"/>
  <c r="F18" i="190"/>
  <c r="F11" i="190"/>
  <c r="F19" i="190"/>
  <c r="W28" i="185" s="1"/>
  <c r="B13" i="190"/>
  <c r="B10" i="190"/>
  <c r="B14" i="190"/>
  <c r="B12" i="190"/>
  <c r="B9" i="190"/>
  <c r="B11" i="190"/>
  <c r="B15" i="190"/>
  <c r="K23" i="187"/>
  <c r="K24" i="187"/>
  <c r="I35" i="187"/>
  <c r="I32" i="187"/>
  <c r="I33" i="187"/>
  <c r="I34" i="187"/>
  <c r="F15" i="191"/>
  <c r="F16" i="191"/>
  <c r="S9" i="185"/>
  <c r="E27" i="190" l="1"/>
  <c r="E21" i="190"/>
  <c r="E25" i="190"/>
  <c r="K26" i="187"/>
  <c r="B21" i="187" s="1"/>
  <c r="B19" i="187"/>
  <c r="S4" i="185"/>
  <c r="I16" i="187"/>
  <c r="J14" i="187"/>
  <c r="K15" i="187"/>
  <c r="I15" i="187"/>
  <c r="I31" i="187"/>
  <c r="B13" i="187"/>
  <c r="J6" i="187" s="1"/>
  <c r="K6" i="187" s="1"/>
  <c r="K16" i="187"/>
  <c r="B15" i="187"/>
  <c r="I8" i="187" s="1"/>
  <c r="K7" i="187"/>
  <c r="I7" i="187"/>
  <c r="H8" i="187"/>
  <c r="J8" i="187" s="1"/>
  <c r="H6" i="187"/>
  <c r="H5" i="187"/>
  <c r="H7" i="187"/>
  <c r="J7" i="187" s="1"/>
  <c r="F18" i="191" l="1"/>
  <c r="F20" i="191" s="1"/>
  <c r="B30" i="187" s="1"/>
  <c r="A31" i="187" s="1"/>
  <c r="I6" i="187"/>
  <c r="I14" i="187"/>
  <c r="H13" i="187"/>
  <c r="I13" i="187"/>
  <c r="C19" i="190"/>
  <c r="E19" i="190"/>
  <c r="H14" i="187"/>
  <c r="W26" i="185"/>
  <c r="W22" i="185"/>
  <c r="W27" i="185"/>
  <c r="W23" i="185"/>
  <c r="W18" i="185"/>
  <c r="W21" i="185"/>
  <c r="W24" i="185"/>
  <c r="W19" i="185"/>
  <c r="W25" i="185"/>
  <c r="W20" i="185"/>
  <c r="I5" i="187"/>
  <c r="K8" i="187"/>
  <c r="H15" i="187"/>
  <c r="J15" i="187" s="1"/>
  <c r="H16" i="187"/>
  <c r="J16" i="187" s="1"/>
  <c r="C12" i="188"/>
  <c r="B4" i="187"/>
  <c r="B8" i="187"/>
  <c r="P36" i="185" l="1"/>
  <c r="P30" i="185"/>
  <c r="P26" i="185"/>
  <c r="P35" i="185"/>
  <c r="P31" i="185"/>
  <c r="P28" i="185"/>
  <c r="P34" i="185"/>
  <c r="P32" i="185"/>
  <c r="P27" i="185"/>
  <c r="P37" i="185"/>
  <c r="P25" i="185"/>
  <c r="P29" i="185"/>
  <c r="P38" i="185"/>
  <c r="D19" i="190"/>
  <c r="Q28" i="185" s="1"/>
  <c r="B31" i="187"/>
  <c r="C9" i="185" s="1"/>
  <c r="P22" i="185"/>
  <c r="P18" i="185"/>
  <c r="P19" i="185"/>
  <c r="P23" i="185"/>
  <c r="P21" i="185"/>
  <c r="P20" i="185"/>
  <c r="P24" i="185"/>
  <c r="B11" i="187"/>
  <c r="B20" i="187" s="1"/>
  <c r="S5" i="185"/>
  <c r="M7" i="185"/>
  <c r="C8" i="185"/>
  <c r="H9" i="185"/>
  <c r="C7" i="185"/>
  <c r="Z5" i="185"/>
  <c r="M9" i="185"/>
  <c r="H8" i="185"/>
  <c r="Z4" i="185"/>
  <c r="M8" i="185"/>
  <c r="H7" i="185"/>
  <c r="R32" i="185" l="1"/>
  <c r="G23" i="190" s="1"/>
  <c r="N32" i="185"/>
  <c r="D23" i="190"/>
  <c r="Q32" i="185" s="1"/>
  <c r="R34" i="185"/>
  <c r="G25" i="190" s="1"/>
  <c r="N34" i="185"/>
  <c r="D25" i="190"/>
  <c r="Q34" i="185" s="1"/>
  <c r="R35" i="185"/>
  <c r="G26" i="190" s="1"/>
  <c r="D26" i="190"/>
  <c r="Q35" i="185" s="1"/>
  <c r="R31" i="185"/>
  <c r="G22" i="190" s="1"/>
  <c r="N31" i="185"/>
  <c r="D22" i="190"/>
  <c r="Q31" i="185" s="1"/>
  <c r="R37" i="185"/>
  <c r="G28" i="190" s="1"/>
  <c r="D28" i="190"/>
  <c r="Q37" i="185" s="1"/>
  <c r="N37" i="185"/>
  <c r="R30" i="185"/>
  <c r="G21" i="190" s="1"/>
  <c r="D21" i="190"/>
  <c r="Q30" i="185" s="1"/>
  <c r="R28" i="185"/>
  <c r="N28" i="185"/>
  <c r="R38" i="185"/>
  <c r="G29" i="190" s="1"/>
  <c r="N38" i="185"/>
  <c r="D29" i="190"/>
  <c r="Q38" i="185" s="1"/>
  <c r="R29" i="185"/>
  <c r="G20" i="190" s="1"/>
  <c r="D20" i="190"/>
  <c r="Q29" i="185" s="1"/>
  <c r="G19" i="190"/>
  <c r="R36" i="185"/>
  <c r="G27" i="190" s="1"/>
  <c r="D27" i="190"/>
  <c r="Q36" i="185" s="1"/>
  <c r="N36" i="185"/>
  <c r="B18" i="187"/>
  <c r="H6" i="185"/>
  <c r="M6" i="185"/>
  <c r="C15" i="190"/>
  <c r="D15" i="190" s="1"/>
  <c r="Q24" i="185" s="1"/>
  <c r="E18" i="190"/>
  <c r="C18" i="190"/>
  <c r="D18" i="190" s="1"/>
  <c r="Q27" i="185" s="1"/>
  <c r="E9" i="190"/>
  <c r="C9" i="190"/>
  <c r="D9" i="190" s="1"/>
  <c r="Q18" i="185" s="1"/>
  <c r="E10" i="190"/>
  <c r="C10" i="190"/>
  <c r="D10" i="190" s="1"/>
  <c r="Q19" i="185" s="1"/>
  <c r="C16" i="190"/>
  <c r="D16" i="190" s="1"/>
  <c r="Q25" i="185" s="1"/>
  <c r="E16" i="190"/>
  <c r="E17" i="190"/>
  <c r="C17" i="190"/>
  <c r="D17" i="190" s="1"/>
  <c r="Q26" i="185" s="1"/>
  <c r="C12" i="190"/>
  <c r="D12" i="190" s="1"/>
  <c r="Q21" i="185" s="1"/>
  <c r="E12" i="190"/>
  <c r="C11" i="190"/>
  <c r="D11" i="190" s="1"/>
  <c r="Q20" i="185" s="1"/>
  <c r="E11" i="190"/>
  <c r="E13" i="190"/>
  <c r="C13" i="190"/>
  <c r="D13" i="190" s="1"/>
  <c r="Q22" i="185" s="1"/>
  <c r="E14" i="190"/>
  <c r="C14" i="190"/>
  <c r="D14" i="190" s="1"/>
  <c r="Q23" i="185" s="1"/>
  <c r="R22" i="185"/>
  <c r="G13" i="190" s="1"/>
  <c r="R23" i="185"/>
  <c r="G14" i="190" s="1"/>
  <c r="R27" i="185"/>
  <c r="G18" i="190" s="1"/>
  <c r="R18" i="185"/>
  <c r="G9" i="190" s="1"/>
  <c r="R19" i="185"/>
  <c r="G10" i="190" s="1"/>
  <c r="R25" i="185"/>
  <c r="R24" i="185"/>
  <c r="G15" i="190" s="1"/>
  <c r="R26" i="185"/>
  <c r="R21" i="185"/>
  <c r="G12" i="190" s="1"/>
  <c r="R20" i="185"/>
  <c r="G11" i="190" s="1"/>
  <c r="N35" i="185" l="1"/>
  <c r="N29" i="185"/>
  <c r="N30" i="185"/>
  <c r="G16" i="190"/>
  <c r="G17" i="190"/>
  <c r="B24" i="187"/>
  <c r="Z9" i="185"/>
  <c r="N27" i="185"/>
  <c r="N26" i="185"/>
  <c r="N25" i="185"/>
  <c r="N19" i="185"/>
  <c r="E15" i="190"/>
  <c r="N18" i="185"/>
  <c r="N22" i="185"/>
  <c r="N24" i="185"/>
  <c r="N20" i="185"/>
  <c r="N23" i="185"/>
  <c r="N21" i="185"/>
  <c r="C4" i="185"/>
  <c r="S25" i="185" l="1"/>
  <c r="S35" i="185"/>
  <c r="S27" i="185"/>
  <c r="S32" i="185"/>
  <c r="S26" i="185"/>
  <c r="S29" i="185"/>
  <c r="S31" i="185"/>
  <c r="S36" i="185"/>
  <c r="S38" i="185"/>
  <c r="S37" i="185"/>
  <c r="S28" i="185"/>
  <c r="S30" i="185"/>
  <c r="S34" i="185"/>
  <c r="H4" i="185"/>
  <c r="T24" i="185" s="1"/>
  <c r="S21" i="185"/>
  <c r="S22" i="185"/>
  <c r="S20" i="185"/>
  <c r="S19" i="185"/>
  <c r="S24" i="185"/>
  <c r="S23" i="185"/>
  <c r="S18" i="185"/>
  <c r="B25" i="187" l="1"/>
  <c r="B26" i="187" s="1"/>
  <c r="M5" i="185" s="1"/>
  <c r="M4" i="185"/>
  <c r="T29" i="185"/>
  <c r="T23" i="185"/>
  <c r="T25" i="185"/>
  <c r="T28" i="185"/>
  <c r="T26" i="185"/>
  <c r="T21" i="185"/>
  <c r="T22" i="185"/>
  <c r="T36" i="185"/>
  <c r="T19" i="185"/>
  <c r="T34" i="185"/>
  <c r="T18" i="185"/>
  <c r="T31" i="185"/>
  <c r="T35" i="185"/>
  <c r="T20" i="185"/>
  <c r="T37" i="185"/>
  <c r="T32" i="185"/>
  <c r="T30" i="185"/>
  <c r="T27" i="185"/>
  <c r="T38" i="185"/>
  <c r="U19" i="185"/>
  <c r="U21" i="185"/>
  <c r="U20" i="185"/>
  <c r="U18" i="185"/>
  <c r="U22" i="185"/>
  <c r="U23" i="185"/>
  <c r="U24" i="185"/>
  <c r="H15" i="190" l="1"/>
  <c r="V24" i="185" s="1"/>
  <c r="H23" i="190"/>
  <c r="V32" i="185" s="1"/>
  <c r="H27" i="190"/>
  <c r="V36" i="185" s="1"/>
  <c r="H28" i="190"/>
  <c r="V37" i="185" s="1"/>
  <c r="H22" i="190"/>
  <c r="V31" i="185" s="1"/>
  <c r="H26" i="190"/>
  <c r="V35" i="185" s="1"/>
  <c r="H21" i="190"/>
  <c r="V30" i="185" s="1"/>
  <c r="H25" i="190"/>
  <c r="V34" i="185" s="1"/>
  <c r="H29" i="190"/>
  <c r="V38" i="185" s="1"/>
  <c r="H20" i="190"/>
  <c r="V29" i="185" s="1"/>
  <c r="H19" i="190"/>
  <c r="V28" i="185" s="1"/>
  <c r="H16" i="190"/>
  <c r="V25" i="185" s="1"/>
  <c r="H18" i="190"/>
  <c r="V27" i="185" s="1"/>
  <c r="H17" i="190"/>
  <c r="V26" i="185" s="1"/>
  <c r="U35" i="185"/>
  <c r="U31" i="185"/>
  <c r="U25" i="185"/>
  <c r="U30" i="185"/>
  <c r="U28" i="185"/>
  <c r="X28" i="185" s="1"/>
  <c r="U34" i="185"/>
  <c r="U32" i="185"/>
  <c r="U26" i="185"/>
  <c r="U38" i="185"/>
  <c r="U29" i="185"/>
  <c r="U27" i="185"/>
  <c r="U36" i="185"/>
  <c r="U37" i="185"/>
  <c r="X24" i="185"/>
  <c r="Y24" i="185" s="1"/>
  <c r="H10" i="190"/>
  <c r="V19" i="185" s="1"/>
  <c r="X19" i="185" s="1"/>
  <c r="Z19" i="185" s="1"/>
  <c r="H12" i="190"/>
  <c r="V21" i="185" s="1"/>
  <c r="X21" i="185" s="1"/>
  <c r="H14" i="190"/>
  <c r="V23" i="185" s="1"/>
  <c r="X23" i="185" s="1"/>
  <c r="H9" i="190"/>
  <c r="V18" i="185" s="1"/>
  <c r="X18" i="185" s="1"/>
  <c r="H11" i="190"/>
  <c r="V20" i="185" s="1"/>
  <c r="X20" i="185" s="1"/>
  <c r="H13" i="190"/>
  <c r="V22" i="185" s="1"/>
  <c r="X22" i="185" s="1"/>
  <c r="X35" i="185" l="1"/>
  <c r="X26" i="185"/>
  <c r="X36" i="185"/>
  <c r="X37" i="185"/>
  <c r="AA37" i="185" s="1"/>
  <c r="X29" i="185"/>
  <c r="AA29" i="185" s="1"/>
  <c r="X25" i="185"/>
  <c r="Y25" i="185" s="1"/>
  <c r="X38" i="185"/>
  <c r="AA38" i="185" s="1"/>
  <c r="Z35" i="185"/>
  <c r="AA35" i="185"/>
  <c r="Y35" i="185"/>
  <c r="Y36" i="185"/>
  <c r="Z36" i="185"/>
  <c r="AA36" i="185"/>
  <c r="Z29" i="185"/>
  <c r="Y29" i="185"/>
  <c r="X32" i="185"/>
  <c r="Z28" i="185"/>
  <c r="AA28" i="185"/>
  <c r="Y28" i="185"/>
  <c r="X27" i="185"/>
  <c r="X31" i="185"/>
  <c r="X30" i="185"/>
  <c r="X34" i="185"/>
  <c r="Z24" i="185"/>
  <c r="AA24" i="185"/>
  <c r="Y19" i="185"/>
  <c r="AA19" i="185"/>
  <c r="Y20" i="185"/>
  <c r="Z20" i="185"/>
  <c r="AA20" i="185"/>
  <c r="Z25" i="185"/>
  <c r="AA25" i="185"/>
  <c r="Z23" i="185"/>
  <c r="Y23" i="185"/>
  <c r="AA23" i="185"/>
  <c r="Y21" i="185"/>
  <c r="Z21" i="185"/>
  <c r="AA21" i="185"/>
  <c r="AA22" i="185"/>
  <c r="Y22" i="185"/>
  <c r="Z22" i="185"/>
  <c r="Z18" i="185"/>
  <c r="AA18" i="185"/>
  <c r="Y18" i="185"/>
  <c r="Y37" i="185" l="1"/>
  <c r="Y38" i="185"/>
  <c r="Z37" i="185"/>
  <c r="Z38" i="185"/>
  <c r="Z32" i="185"/>
  <c r="AA32" i="185"/>
  <c r="Y32" i="185"/>
  <c r="Y34" i="185"/>
  <c r="Z34" i="185"/>
  <c r="AA34" i="185"/>
  <c r="AA31" i="185"/>
  <c r="Y31" i="185"/>
  <c r="Z31" i="185"/>
  <c r="Y30" i="185"/>
  <c r="Z30" i="185"/>
  <c r="AA30" i="185"/>
  <c r="Z27" i="185"/>
  <c r="AA27" i="185"/>
  <c r="Y27" i="185"/>
  <c r="AA26" i="185" l="1"/>
  <c r="Y26" i="185"/>
  <c r="Z26" i="185"/>
  <c r="X42" i="185" l="1"/>
  <c r="Z42" i="18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31" authorId="0" shapeId="0" xr:uid="{ED95907C-9183-477E-98FF-2A0E53694BBB}">
      <text>
        <r>
          <rPr>
            <b/>
            <sz val="9"/>
            <color indexed="81"/>
            <rFont val="Segoe UI"/>
            <family val="2"/>
          </rPr>
          <t xml:space="preserve">MORE DETAILED INFORMATION:
</t>
        </r>
        <r>
          <rPr>
            <sz val="9"/>
            <color indexed="81"/>
            <rFont val="Segoe UI"/>
            <family val="2"/>
          </rPr>
          <t>START means: The ICE was ON, while the vehicle was passing line AA', but was OFF, when passing line BB'
END means: The ICE was OFF, while the vehicle was passing line AA', but was ON, when passing line BB'</t>
        </r>
      </text>
    </comment>
  </commentList>
</comments>
</file>

<file path=xl/sharedStrings.xml><?xml version="1.0" encoding="utf-8"?>
<sst xmlns="http://schemas.openxmlformats.org/spreadsheetml/2006/main" count="939" uniqueCount="497">
  <si>
    <t>PMR</t>
  </si>
  <si>
    <t>km/h</t>
  </si>
  <si>
    <t>kW/t</t>
  </si>
  <si>
    <t>1/min</t>
  </si>
  <si>
    <t>dB(A)</t>
  </si>
  <si>
    <t>m/s²</t>
  </si>
  <si>
    <t>kW</t>
  </si>
  <si>
    <t>kg</t>
  </si>
  <si>
    <t>m</t>
  </si>
  <si>
    <t>(F/M/R)</t>
  </si>
  <si>
    <t>Single Gear Test</t>
  </si>
  <si>
    <t>Y/N</t>
  </si>
  <si>
    <t>Veh Category</t>
  </si>
  <si>
    <t>Mass M</t>
  </si>
  <si>
    <t>Mode</t>
  </si>
  <si>
    <t>Engine Type</t>
  </si>
  <si>
    <t>Size</t>
  </si>
  <si>
    <t>Section</t>
  </si>
  <si>
    <t>Rim</t>
  </si>
  <si>
    <t>Rear Axle Tyres</t>
  </si>
  <si>
    <t>N</t>
  </si>
  <si>
    <t>M1</t>
  </si>
  <si>
    <t>F</t>
  </si>
  <si>
    <t>Y</t>
  </si>
  <si>
    <t>%</t>
  </si>
  <si>
    <t>rpm</t>
  </si>
  <si>
    <r>
      <t>V</t>
    </r>
    <r>
      <rPr>
        <vertAlign val="subscript"/>
        <sz val="11"/>
        <color theme="1"/>
        <rFont val="Calibri"/>
        <family val="2"/>
        <scheme val="minor"/>
      </rPr>
      <t>REF</t>
    </r>
  </si>
  <si>
    <t>TYRE</t>
  </si>
  <si>
    <t>m²/s³</t>
  </si>
  <si>
    <t>DYNAMIC VA</t>
  </si>
  <si>
    <t>POWER TRAIN MECHANIC</t>
  </si>
  <si>
    <t>DYNAMIC BASE</t>
  </si>
  <si>
    <t>PARTIAL LOAD MODEL</t>
  </si>
  <si>
    <r>
      <t xml:space="preserve">Factor </t>
    </r>
    <r>
      <rPr>
        <sz val="11"/>
        <color theme="1"/>
        <rFont val="Symbol"/>
        <family val="1"/>
        <charset val="2"/>
      </rPr>
      <t>b</t>
    </r>
  </si>
  <si>
    <t>---</t>
  </si>
  <si>
    <t>Model Part</t>
  </si>
  <si>
    <t>Parameter</t>
  </si>
  <si>
    <t>Symbol</t>
  </si>
  <si>
    <t>Unit</t>
  </si>
  <si>
    <t>A</t>
  </si>
  <si>
    <t>B</t>
  </si>
  <si>
    <t>C</t>
  </si>
  <si>
    <t>x</t>
  </si>
  <si>
    <t>dB</t>
  </si>
  <si>
    <t xml:space="preserve">1/min </t>
  </si>
  <si>
    <t>b</t>
  </si>
  <si>
    <t>Target Condition</t>
  </si>
  <si>
    <t>Measured Values</t>
  </si>
  <si>
    <t>Run</t>
  </si>
  <si>
    <t>Selected
Mode</t>
  </si>
  <si>
    <t>Vehicle Speeds</t>
  </si>
  <si>
    <t>Vehicle Performance</t>
  </si>
  <si>
    <r>
      <t>L</t>
    </r>
    <r>
      <rPr>
        <b/>
        <vertAlign val="subscript"/>
        <sz val="11"/>
        <color rgb="FF000000"/>
        <rFont val="Calibri"/>
        <family val="2"/>
      </rPr>
      <t>TEST</t>
    </r>
    <r>
      <rPr>
        <b/>
        <sz val="11"/>
        <color rgb="FF000000"/>
        <rFont val="Calibri"/>
        <family val="2"/>
      </rPr>
      <t xml:space="preserve"> &lt; L</t>
    </r>
    <r>
      <rPr>
        <b/>
        <vertAlign val="subscript"/>
        <sz val="11"/>
        <color rgb="FF000000"/>
        <rFont val="Calibri"/>
        <family val="2"/>
      </rPr>
      <t>EXP</t>
    </r>
  </si>
  <si>
    <r>
      <t>L</t>
    </r>
    <r>
      <rPr>
        <b/>
        <vertAlign val="subscript"/>
        <sz val="11"/>
        <color rgb="FF000000"/>
        <rFont val="Calibri"/>
        <family val="2"/>
      </rPr>
      <t>TEST</t>
    </r>
    <r>
      <rPr>
        <b/>
        <sz val="11"/>
        <color rgb="FF000000"/>
        <rFont val="Calibri"/>
        <family val="2"/>
      </rPr>
      <t xml:space="preserve"> &gt; L</t>
    </r>
    <r>
      <rPr>
        <b/>
        <vertAlign val="subscript"/>
        <sz val="11"/>
        <color rgb="FF000000"/>
        <rFont val="Calibri"/>
        <family val="2"/>
      </rPr>
      <t>EXP</t>
    </r>
    <r>
      <rPr>
        <b/>
        <sz val="11"/>
        <color rgb="FF000000"/>
        <rFont val="Calibri"/>
        <family val="2"/>
      </rPr>
      <t xml:space="preserve">
+ tolerance</t>
    </r>
  </si>
  <si>
    <t>Left Side</t>
  </si>
  <si>
    <t>Right Side</t>
  </si>
  <si>
    <t>Nr</t>
  </si>
  <si>
    <t>Gear/Nr.</t>
  </si>
  <si>
    <t>l</t>
  </si>
  <si>
    <r>
      <t>v</t>
    </r>
    <r>
      <rPr>
        <b/>
        <vertAlign val="subscript"/>
        <sz val="11"/>
        <color rgb="FF000000"/>
        <rFont val="Calibri"/>
        <family val="2"/>
      </rPr>
      <t>AA'</t>
    </r>
  </si>
  <si>
    <r>
      <t>v</t>
    </r>
    <r>
      <rPr>
        <b/>
        <vertAlign val="subscript"/>
        <sz val="11"/>
        <color rgb="FF000000"/>
        <rFont val="Calibri"/>
        <family val="2"/>
      </rPr>
      <t>PP'</t>
    </r>
  </si>
  <si>
    <r>
      <t>v</t>
    </r>
    <r>
      <rPr>
        <b/>
        <vertAlign val="subscript"/>
        <sz val="11"/>
        <color rgb="FF000000"/>
        <rFont val="Calibri"/>
        <family val="2"/>
      </rPr>
      <t>BB'</t>
    </r>
  </si>
  <si>
    <r>
      <t>n</t>
    </r>
    <r>
      <rPr>
        <b/>
        <vertAlign val="subscript"/>
        <sz val="11"/>
        <color rgb="FF000000"/>
        <rFont val="Calibri"/>
        <family val="2"/>
      </rPr>
      <t>BB'</t>
    </r>
  </si>
  <si>
    <r>
      <t>L</t>
    </r>
    <r>
      <rPr>
        <b/>
        <vertAlign val="subscript"/>
        <sz val="11"/>
        <color rgb="FF000000"/>
        <rFont val="Calibri"/>
        <family val="2"/>
      </rPr>
      <t>LEFT</t>
    </r>
  </si>
  <si>
    <r>
      <t>L</t>
    </r>
    <r>
      <rPr>
        <b/>
        <vertAlign val="subscript"/>
        <sz val="11"/>
        <color rgb="FF000000"/>
        <rFont val="Calibri"/>
        <family val="2"/>
      </rPr>
      <t>RIGHT</t>
    </r>
  </si>
  <si>
    <r>
      <t>a</t>
    </r>
    <r>
      <rPr>
        <b/>
        <vertAlign val="subscript"/>
        <sz val="11"/>
        <color rgb="FF000000"/>
        <rFont val="Calibri"/>
        <family val="2"/>
      </rPr>
      <t>TEST</t>
    </r>
  </si>
  <si>
    <r>
      <t>v</t>
    </r>
    <r>
      <rPr>
        <b/>
        <sz val="11"/>
        <rFont val="Symbol"/>
        <family val="1"/>
        <charset val="2"/>
      </rPr>
      <t>×</t>
    </r>
    <r>
      <rPr>
        <b/>
        <sz val="11"/>
        <rFont val="Times New Roman"/>
        <family val="1"/>
      </rPr>
      <t>a</t>
    </r>
  </si>
  <si>
    <r>
      <t>L</t>
    </r>
    <r>
      <rPr>
        <b/>
        <vertAlign val="subscript"/>
        <sz val="11"/>
        <color rgb="FF000000"/>
        <rFont val="Calibri"/>
        <family val="2"/>
      </rPr>
      <t>EXP</t>
    </r>
  </si>
  <si>
    <t>Value</t>
  </si>
  <si>
    <t>SPL</t>
  </si>
  <si>
    <t>*</t>
  </si>
  <si>
    <t>Mandatory</t>
  </si>
  <si>
    <t>Explanation</t>
  </si>
  <si>
    <t>Vehicle Speed to Engine Speed Ratio</t>
  </si>
  <si>
    <t>km/h per 1000rpm</t>
  </si>
  <si>
    <t>Parameter (Sub)</t>
  </si>
  <si>
    <t>Combined Power P</t>
  </si>
  <si>
    <t>Reference Point</t>
  </si>
  <si>
    <t>Transmission Type</t>
  </si>
  <si>
    <t>Number of Gears</t>
  </si>
  <si>
    <t>Tyre Information</t>
  </si>
  <si>
    <t>Front Axle Tyres</t>
  </si>
  <si>
    <t>Load Index</t>
  </si>
  <si>
    <t>Speed Index</t>
  </si>
  <si>
    <t>Annex 3 Aggregated Result</t>
  </si>
  <si>
    <t>Gear LOW/SINGLE</t>
  </si>
  <si>
    <t>Hybrid Type</t>
  </si>
  <si>
    <t>S/P/N</t>
  </si>
  <si>
    <t>Hybrid Engine Operation Principle</t>
  </si>
  <si>
    <t>Tyre Type</t>
  </si>
  <si>
    <t>AVAS fitted</t>
  </si>
  <si>
    <t>Vehicle Parameter</t>
  </si>
  <si>
    <t>Transmision Information</t>
  </si>
  <si>
    <t>Select Parameter SET</t>
  </si>
  <si>
    <t>Applicable Column of Parameter Table</t>
  </si>
  <si>
    <r>
      <t xml:space="preserve">Tyre Rolling Sound Slope </t>
    </r>
    <r>
      <rPr>
        <u/>
        <sz val="11"/>
        <color rgb="FF000000"/>
        <rFont val="Calibri"/>
        <family val="2"/>
        <scheme val="minor"/>
      </rPr>
      <t>&lt;</t>
    </r>
    <r>
      <rPr>
        <sz val="11"/>
        <color rgb="FF000000"/>
        <rFont val="Calibri"/>
        <family val="2"/>
        <scheme val="minor"/>
      </rPr>
      <t xml:space="preserve"> v</t>
    </r>
    <r>
      <rPr>
        <vertAlign val="subscript"/>
        <sz val="11"/>
        <color rgb="FF000000"/>
        <rFont val="Calibri"/>
        <family val="2"/>
        <scheme val="minor"/>
      </rPr>
      <t>TEST</t>
    </r>
    <r>
      <rPr>
        <sz val="11"/>
        <color rgb="FF000000"/>
        <rFont val="Calibri"/>
        <family val="2"/>
        <scheme val="minor"/>
      </rPr>
      <t xml:space="preserve"> </t>
    </r>
  </si>
  <si>
    <r>
      <t>Tyre Rolling Sound Slope &gt; v</t>
    </r>
    <r>
      <rPr>
        <vertAlign val="subscript"/>
        <sz val="11"/>
        <color rgb="FF000000"/>
        <rFont val="Calibri"/>
        <family val="2"/>
        <scheme val="minor"/>
      </rPr>
      <t>TEST</t>
    </r>
    <r>
      <rPr>
        <sz val="11"/>
        <color rgb="FF000000"/>
        <rFont val="Calibri"/>
        <family val="2"/>
        <scheme val="minor"/>
      </rPr>
      <t xml:space="preserve"> </t>
    </r>
  </si>
  <si>
    <r>
      <t xml:space="preserve">Power Train Sound Slope </t>
    </r>
    <r>
      <rPr>
        <u/>
        <sz val="11"/>
        <color rgb="FF000000"/>
        <rFont val="Calibri"/>
        <family val="2"/>
        <scheme val="minor"/>
      </rPr>
      <t>&lt;</t>
    </r>
    <r>
      <rPr>
        <sz val="11"/>
        <color rgb="FF000000"/>
        <rFont val="Calibri"/>
        <family val="2"/>
        <scheme val="minor"/>
      </rPr>
      <t xml:space="preserve"> n</t>
    </r>
    <r>
      <rPr>
        <vertAlign val="subscript"/>
        <sz val="11"/>
        <color rgb="FF000000"/>
        <rFont val="Calibri"/>
        <family val="2"/>
        <scheme val="minor"/>
      </rPr>
      <t>BB’_CRS’_ANCHOR</t>
    </r>
  </si>
  <si>
    <r>
      <t>Power Train Sound Slope &gt; n</t>
    </r>
    <r>
      <rPr>
        <vertAlign val="subscript"/>
        <sz val="11"/>
        <color rgb="FF000000"/>
        <rFont val="Calibri"/>
        <family val="2"/>
        <scheme val="minor"/>
      </rPr>
      <t>BB’_CRS’_ANCHOR</t>
    </r>
  </si>
  <si>
    <r>
      <t xml:space="preserve">Dynamic Sound Slope </t>
    </r>
    <r>
      <rPr>
        <u/>
        <sz val="11"/>
        <color rgb="FF000000"/>
        <rFont val="Calibri"/>
        <family val="2"/>
        <scheme val="minor"/>
      </rPr>
      <t>&lt;</t>
    </r>
    <r>
      <rPr>
        <sz val="11"/>
        <color rgb="FF000000"/>
        <rFont val="Calibri"/>
        <family val="2"/>
        <scheme val="minor"/>
      </rPr>
      <t xml:space="preserve"> n</t>
    </r>
    <r>
      <rPr>
        <vertAlign val="subscript"/>
        <sz val="11"/>
        <color rgb="FF000000"/>
        <rFont val="Calibri"/>
        <family val="2"/>
        <scheme val="minor"/>
      </rPr>
      <t>BB’_ACC_ANCHOR</t>
    </r>
  </si>
  <si>
    <r>
      <t>Dynamic Sound Slope &gt; n</t>
    </r>
    <r>
      <rPr>
        <vertAlign val="subscript"/>
        <sz val="11"/>
        <color rgb="FF000000"/>
        <rFont val="Calibri"/>
        <family val="2"/>
        <scheme val="minor"/>
      </rPr>
      <t>BB’_ACC_ANCHOR</t>
    </r>
  </si>
  <si>
    <r>
      <t xml:space="preserve">Dynamic </t>
    </r>
    <r>
      <rPr>
        <sz val="11"/>
        <color theme="1"/>
        <rFont val="Calibri"/>
        <family val="2"/>
        <scheme val="minor"/>
      </rPr>
      <t xml:space="preserve">v×a </t>
    </r>
    <r>
      <rPr>
        <sz val="11"/>
        <color rgb="FF000000"/>
        <rFont val="Calibri"/>
        <family val="2"/>
        <scheme val="minor"/>
      </rPr>
      <t>Factor b</t>
    </r>
  </si>
  <si>
    <r>
      <t>Partial Load Form Factor a</t>
    </r>
    <r>
      <rPr>
        <vertAlign val="subscript"/>
        <sz val="11"/>
        <color rgb="FF000000"/>
        <rFont val="Calibri"/>
        <family val="2"/>
        <scheme val="minor"/>
      </rPr>
      <t>1</t>
    </r>
  </si>
  <si>
    <r>
      <t>Partial Load Form Factor a</t>
    </r>
    <r>
      <rPr>
        <vertAlign val="subscript"/>
        <sz val="11"/>
        <color rgb="FF000000"/>
        <rFont val="Calibri"/>
        <family val="2"/>
        <scheme val="minor"/>
      </rPr>
      <t>2</t>
    </r>
  </si>
  <si>
    <t>Reference Vehicle Speed 
(as reported from Annex 3)</t>
  </si>
  <si>
    <r>
      <t xml:space="preserve">Tyre Rolling Sound Energy Fraction 
of Annex 3 Cruise Test </t>
    </r>
    <r>
      <rPr>
        <i/>
        <sz val="11"/>
        <color rgb="FF000000"/>
        <rFont val="Calibri"/>
        <family val="2"/>
        <scheme val="minor"/>
      </rPr>
      <t>L</t>
    </r>
    <r>
      <rPr>
        <i/>
        <vertAlign val="subscript"/>
        <sz val="11"/>
        <color rgb="FF000000"/>
        <rFont val="Calibri"/>
        <family val="2"/>
        <scheme val="minor"/>
      </rPr>
      <t>CRS_ANCHOR</t>
    </r>
  </si>
  <si>
    <t>Form Factor for the logarithm function 
of the dynamic sound model</t>
  </si>
  <si>
    <t>Form Factor for the logarithm function 
of the mechanical sound model</t>
  </si>
  <si>
    <t>Determination of x-factor</t>
  </si>
  <si>
    <t>Select from Parameter Table (T) or by Direct Measurement (M)</t>
  </si>
  <si>
    <t>Free Rolling Sound Measurements (Appendix 4 to Annex 3)</t>
  </si>
  <si>
    <t>SPL Left</t>
  </si>
  <si>
    <t>SPL Right</t>
  </si>
  <si>
    <t>vPP</t>
  </si>
  <si>
    <t>SPL MAX LR</t>
  </si>
  <si>
    <t>Log(v)</t>
  </si>
  <si>
    <t>Gear 
Selector 
Position</t>
  </si>
  <si>
    <r>
      <t xml:space="preserve">Accelerator Position
</t>
    </r>
    <r>
      <rPr>
        <b/>
        <sz val="9"/>
        <color theme="4" tint="-0.249977111117893"/>
        <rFont val="Calibri"/>
        <family val="2"/>
      </rPr>
      <t>(%pedal 
depression)</t>
    </r>
  </si>
  <si>
    <t>Engine Speed 
at line BB'</t>
  </si>
  <si>
    <t>Acceleration 
PP'-BB'</t>
  </si>
  <si>
    <t>Expected ROLLING 
Sound</t>
  </si>
  <si>
    <t>Expected DYNAMIC
Sound</t>
  </si>
  <si>
    <t>Expected MECHANICAL Sound</t>
  </si>
  <si>
    <t>Maximum Acceleration determined</t>
  </si>
  <si>
    <t>Gears</t>
  </si>
  <si>
    <t>Ratios</t>
  </si>
  <si>
    <t>Max Acc</t>
  </si>
  <si>
    <r>
      <t>n</t>
    </r>
    <r>
      <rPr>
        <vertAlign val="subscript"/>
        <sz val="11"/>
        <color theme="1"/>
        <rFont val="Calibri"/>
        <family val="2"/>
        <scheme val="minor"/>
      </rPr>
      <t>BB'_WOT_ANCHOR</t>
    </r>
  </si>
  <si>
    <t>Partial
Load</t>
  </si>
  <si>
    <t>max Acceleration</t>
  </si>
  <si>
    <r>
      <rPr>
        <b/>
        <sz val="11"/>
        <color rgb="FF000000"/>
        <rFont val="Symbol"/>
        <family val="1"/>
        <charset val="2"/>
      </rPr>
      <t>D</t>
    </r>
    <r>
      <rPr>
        <b/>
        <sz val="11"/>
        <color rgb="FF000000"/>
        <rFont val="Calibri"/>
        <family val="2"/>
      </rPr>
      <t>L</t>
    </r>
    <r>
      <rPr>
        <b/>
        <vertAlign val="subscript"/>
        <sz val="11"/>
        <color rgb="FF000000"/>
        <rFont val="Calibri"/>
        <family val="2"/>
      </rPr>
      <t>DYN_EXP</t>
    </r>
  </si>
  <si>
    <r>
      <t>a</t>
    </r>
    <r>
      <rPr>
        <b/>
        <vertAlign val="subscript"/>
        <sz val="11"/>
        <color rgb="FF000000"/>
        <rFont val="Calibri"/>
        <family val="2"/>
      </rPr>
      <t>MAX_i</t>
    </r>
  </si>
  <si>
    <r>
      <rPr>
        <b/>
        <sz val="11"/>
        <color rgb="FF000000"/>
        <rFont val="Symbol"/>
        <family val="1"/>
        <charset val="2"/>
      </rPr>
      <t>D</t>
    </r>
    <r>
      <rPr>
        <b/>
        <sz val="11"/>
        <color rgb="FF000000"/>
        <rFont val="Calibri"/>
        <family val="2"/>
      </rPr>
      <t>L</t>
    </r>
    <r>
      <rPr>
        <b/>
        <vertAlign val="subscript"/>
        <sz val="11"/>
        <color rgb="FF000000"/>
        <rFont val="Calibri"/>
        <family val="2"/>
      </rPr>
      <t>DYN_VA</t>
    </r>
  </si>
  <si>
    <t>DELTA DYNAMIC
Sound</t>
  </si>
  <si>
    <t>DELTA DYNAMIC
Performance</t>
  </si>
  <si>
    <t>AVAS
SYNC</t>
  </si>
  <si>
    <r>
      <rPr>
        <b/>
        <sz val="11"/>
        <color rgb="FF000000"/>
        <rFont val="Symbol"/>
        <family val="1"/>
        <charset val="2"/>
      </rPr>
      <t>D</t>
    </r>
    <r>
      <rPr>
        <b/>
        <sz val="11"/>
        <color rgb="FF000000"/>
        <rFont val="Calibri"/>
        <family val="2"/>
      </rPr>
      <t>L</t>
    </r>
    <r>
      <rPr>
        <b/>
        <vertAlign val="subscript"/>
        <sz val="11"/>
        <color rgb="FF000000"/>
        <rFont val="Calibri"/>
        <family val="2"/>
      </rPr>
      <t>AVAS</t>
    </r>
  </si>
  <si>
    <t>Calculated Interim Values</t>
  </si>
  <si>
    <t>CHECK AVAS</t>
  </si>
  <si>
    <t>AVAS required by UN R138</t>
  </si>
  <si>
    <t>Expected OVERALL Sound</t>
  </si>
  <si>
    <r>
      <t>L</t>
    </r>
    <r>
      <rPr>
        <b/>
        <vertAlign val="subscript"/>
        <sz val="11"/>
        <color rgb="FF000000"/>
        <rFont val="Calibri"/>
        <family val="2"/>
      </rPr>
      <t>DYN_EXP</t>
    </r>
  </si>
  <si>
    <r>
      <t>L</t>
    </r>
    <r>
      <rPr>
        <b/>
        <vertAlign val="subscript"/>
        <sz val="11"/>
        <color rgb="FF000000"/>
        <rFont val="Calibri"/>
        <family val="2"/>
      </rPr>
      <t>PT_EXP</t>
    </r>
  </si>
  <si>
    <r>
      <t>L</t>
    </r>
    <r>
      <rPr>
        <b/>
        <vertAlign val="subscript"/>
        <sz val="11"/>
        <color rgb="FF000000"/>
        <rFont val="Calibri"/>
        <family val="2"/>
      </rPr>
      <t>TR_EXP</t>
    </r>
  </si>
  <si>
    <t>Engine Speed
(for calc)</t>
  </si>
  <si>
    <r>
      <rPr>
        <sz val="11"/>
        <color theme="1"/>
        <rFont val="Symbol"/>
        <family val="1"/>
        <charset val="2"/>
      </rPr>
      <t>q</t>
    </r>
    <r>
      <rPr>
        <vertAlign val="subscript"/>
        <sz val="11"/>
        <color theme="1"/>
        <rFont val="Calibri"/>
        <family val="2"/>
      </rPr>
      <t>DYN,LO</t>
    </r>
    <r>
      <rPr>
        <sz val="11"/>
        <color theme="1"/>
        <rFont val="Calibri"/>
        <family val="2"/>
        <scheme val="minor"/>
      </rPr>
      <t xml:space="preserve"> &gt; N</t>
    </r>
    <r>
      <rPr>
        <vertAlign val="subscript"/>
        <sz val="11"/>
        <color theme="1"/>
        <rFont val="Calibri"/>
        <family val="2"/>
        <scheme val="minor"/>
      </rPr>
      <t>BB_WOT_ANCHOR</t>
    </r>
  </si>
  <si>
    <r>
      <rPr>
        <sz val="11"/>
        <color theme="1"/>
        <rFont val="Symbol"/>
        <family val="1"/>
        <charset val="2"/>
      </rPr>
      <t>q</t>
    </r>
    <r>
      <rPr>
        <vertAlign val="subscript"/>
        <sz val="11"/>
        <color theme="1"/>
        <rFont val="Calibri"/>
        <family val="2"/>
      </rPr>
      <t>PT,LO</t>
    </r>
    <r>
      <rPr>
        <sz val="11"/>
        <color theme="1"/>
        <rFont val="Calibri"/>
        <family val="2"/>
        <scheme val="minor"/>
      </rPr>
      <t xml:space="preserve"> &gt; N</t>
    </r>
    <r>
      <rPr>
        <vertAlign val="subscript"/>
        <sz val="11"/>
        <color theme="1"/>
        <rFont val="Calibri"/>
        <family val="2"/>
        <scheme val="minor"/>
      </rPr>
      <t>BB_CRS_ANCHOR</t>
    </r>
  </si>
  <si>
    <r>
      <t>N</t>
    </r>
    <r>
      <rPr>
        <vertAlign val="subscript"/>
        <sz val="11"/>
        <color theme="1"/>
        <rFont val="Calibri"/>
        <family val="2"/>
        <scheme val="minor"/>
      </rPr>
      <t>SHIFT_PT</t>
    </r>
  </si>
  <si>
    <r>
      <t>N</t>
    </r>
    <r>
      <rPr>
        <vertAlign val="subscript"/>
        <sz val="11"/>
        <color theme="1"/>
        <rFont val="Calibri"/>
        <family val="2"/>
        <scheme val="minor"/>
      </rPr>
      <t>SHIFT_DYN</t>
    </r>
  </si>
  <si>
    <r>
      <t>L</t>
    </r>
    <r>
      <rPr>
        <b/>
        <vertAlign val="subscript"/>
        <sz val="11"/>
        <color theme="1"/>
        <rFont val="Calibri"/>
        <family val="2"/>
        <scheme val="minor"/>
      </rPr>
      <t>REF_TR</t>
    </r>
  </si>
  <si>
    <r>
      <t>L</t>
    </r>
    <r>
      <rPr>
        <b/>
        <vertAlign val="subscript"/>
        <sz val="11"/>
        <color theme="1"/>
        <rFont val="Calibri"/>
        <family val="2"/>
        <scheme val="minor"/>
      </rPr>
      <t>REF_PT</t>
    </r>
  </si>
  <si>
    <r>
      <t>L</t>
    </r>
    <r>
      <rPr>
        <b/>
        <vertAlign val="subscript"/>
        <sz val="11"/>
        <color theme="1"/>
        <rFont val="Calibri"/>
        <family val="2"/>
        <scheme val="minor"/>
      </rPr>
      <t>DYN_REF</t>
    </r>
  </si>
  <si>
    <r>
      <t>∆L</t>
    </r>
    <r>
      <rPr>
        <b/>
        <vertAlign val="subscript"/>
        <sz val="11"/>
        <color theme="1"/>
        <rFont val="Calibri"/>
        <family val="2"/>
        <scheme val="minor"/>
      </rPr>
      <t>DYN</t>
    </r>
  </si>
  <si>
    <r>
      <t xml:space="preserve">Partial Load Factor </t>
    </r>
    <r>
      <rPr>
        <sz val="11"/>
        <color theme="1"/>
        <rFont val="Symbol"/>
        <family val="1"/>
        <charset val="2"/>
      </rPr>
      <t>a</t>
    </r>
    <r>
      <rPr>
        <sz val="11"/>
        <color theme="1"/>
        <rFont val="Calibri"/>
        <family val="2"/>
        <scheme val="minor"/>
      </rPr>
      <t>1</t>
    </r>
  </si>
  <si>
    <r>
      <t xml:space="preserve">Partial Load Factor </t>
    </r>
    <r>
      <rPr>
        <sz val="11"/>
        <color theme="1"/>
        <rFont val="Symbol"/>
        <family val="1"/>
        <charset val="2"/>
      </rPr>
      <t>a2</t>
    </r>
  </si>
  <si>
    <t>Valid Test Runs (relevant for Compliance Assessment)</t>
  </si>
  <si>
    <t>Additional Runs (void runs, or informative run, not relevant for Compliance Assessment)</t>
  </si>
  <si>
    <t>CASE</t>
  </si>
  <si>
    <t>RESULT</t>
  </si>
  <si>
    <r>
      <t xml:space="preserve">Conformity Check
</t>
    </r>
    <r>
      <rPr>
        <sz val="12"/>
        <color rgb="FFFF0000"/>
        <rFont val="Calibri"/>
        <family val="2"/>
      </rPr>
      <t>(Automatic Check; do not edit)</t>
    </r>
  </si>
  <si>
    <t>PROPULSION TECHNOLOGY</t>
  </si>
  <si>
    <r>
      <t>L</t>
    </r>
    <r>
      <rPr>
        <b/>
        <vertAlign val="subscript"/>
        <sz val="11"/>
        <color rgb="FF000000"/>
        <rFont val="Calibri"/>
        <family val="2"/>
      </rPr>
      <t>TEST</t>
    </r>
    <r>
      <rPr>
        <b/>
        <sz val="11"/>
        <color rgb="FF000000"/>
        <rFont val="Calibri"/>
        <family val="2"/>
      </rPr>
      <t xml:space="preserve"> &lt; L</t>
    </r>
    <r>
      <rPr>
        <b/>
        <vertAlign val="subscript"/>
        <sz val="11"/>
        <color rgb="FF000000"/>
        <rFont val="Calibri"/>
        <family val="2"/>
      </rPr>
      <t>EXP</t>
    </r>
    <r>
      <rPr>
        <b/>
        <sz val="11"/>
        <color rgb="FF000000"/>
        <rFont val="Calibri"/>
        <family val="2"/>
      </rPr>
      <t xml:space="preserve">
+ tolerance
</t>
    </r>
    <r>
      <rPr>
        <sz val="8"/>
        <color rgb="FFFF0000"/>
        <rFont val="Calibri"/>
        <family val="2"/>
      </rPr>
      <t>(actually 
set to 2 dB)</t>
    </r>
  </si>
  <si>
    <t>Reported Accelerator Position</t>
  </si>
  <si>
    <t xml:space="preserve">Vehicle 
Speed </t>
  </si>
  <si>
    <r>
      <t>v</t>
    </r>
    <r>
      <rPr>
        <b/>
        <vertAlign val="subscript"/>
        <sz val="11"/>
        <color theme="4" tint="-0.249977111117893"/>
        <rFont val="Calibri"/>
        <family val="2"/>
      </rPr>
      <t>AA'</t>
    </r>
  </si>
  <si>
    <r>
      <t xml:space="preserve">Test Report for Pass-by Sound Measurements According to UN R51.03 </t>
    </r>
    <r>
      <rPr>
        <b/>
        <sz val="18"/>
        <color rgb="FFFF0000"/>
        <rFont val="Calibri"/>
        <family val="2"/>
        <scheme val="minor"/>
      </rPr>
      <t>Annex 9</t>
    </r>
  </si>
  <si>
    <t>km/h per
1000 rpm</t>
  </si>
  <si>
    <r>
      <t xml:space="preserve">Parameter Table for the Sound Model </t>
    </r>
    <r>
      <rPr>
        <b/>
        <sz val="16"/>
        <color rgb="FFFF0000"/>
        <rFont val="Calibri"/>
        <family val="2"/>
        <scheme val="minor"/>
      </rPr>
      <t>(DO NOT EDIT)</t>
    </r>
  </si>
  <si>
    <t>General Vehicle Data</t>
  </si>
  <si>
    <t>Necessary Parameter from Pass-By Measurements in Annex 3</t>
  </si>
  <si>
    <t>Necessary Data Evaluation in Cases where no Engine Speed is avalable in Annex 3 Pass-By Tests)</t>
  </si>
  <si>
    <t>Necessary Evaluation for Establishing the Sound Expectation Model</t>
  </si>
  <si>
    <r>
      <t>Tyre Rolling Sound Data (</t>
    </r>
    <r>
      <rPr>
        <sz val="11"/>
        <color rgb="FFFF0000"/>
        <rFont val="Calibri"/>
        <family val="2"/>
        <scheme val="minor"/>
      </rPr>
      <t>Optional Choice for the Manufacturer</t>
    </r>
    <r>
      <rPr>
        <b/>
        <sz val="11"/>
        <color theme="1"/>
        <rFont val="Calibri"/>
        <family val="2"/>
        <scheme val="minor"/>
      </rPr>
      <t>)</t>
    </r>
  </si>
  <si>
    <t>[dB(A)]</t>
  </si>
  <si>
    <r>
      <t>Tyre Rolling Sound at v</t>
    </r>
    <r>
      <rPr>
        <b/>
        <vertAlign val="subscript"/>
        <sz val="11"/>
        <color theme="1"/>
        <rFont val="Calibri"/>
        <family val="2"/>
        <scheme val="minor"/>
      </rPr>
      <t>REF</t>
    </r>
    <r>
      <rPr>
        <b/>
        <sz val="11"/>
        <color theme="1"/>
        <rFont val="Calibri"/>
        <family val="2"/>
        <scheme val="minor"/>
      </rPr>
      <t xml:space="preserve"> [dB(A)]</t>
    </r>
  </si>
  <si>
    <r>
      <t>v</t>
    </r>
    <r>
      <rPr>
        <vertAlign val="subscript"/>
        <sz val="11"/>
        <color theme="1"/>
        <rFont val="Calibri"/>
        <family val="2"/>
        <scheme val="minor"/>
      </rPr>
      <t>REF</t>
    </r>
    <r>
      <rPr>
        <sz val="11"/>
        <color theme="1"/>
        <rFont val="Calibri"/>
        <family val="2"/>
        <scheme val="minor"/>
      </rPr>
      <t xml:space="preserve"> </t>
    </r>
  </si>
  <si>
    <t>[km/h]</t>
  </si>
  <si>
    <t>[dB]</t>
  </si>
  <si>
    <t>Tyre Rolling Sound Slope</t>
  </si>
  <si>
    <t>Tyre Rolling Sound Base Value</t>
  </si>
  <si>
    <t>x-Factor Determined by Direct Measurement</t>
  </si>
  <si>
    <r>
      <t>L</t>
    </r>
    <r>
      <rPr>
        <vertAlign val="subscript"/>
        <sz val="11"/>
        <color theme="1"/>
        <rFont val="Calibri"/>
        <family val="2"/>
        <scheme val="minor"/>
      </rPr>
      <t>urban</t>
    </r>
  </si>
  <si>
    <r>
      <t>v</t>
    </r>
    <r>
      <rPr>
        <vertAlign val="subscript"/>
        <sz val="11"/>
        <color theme="1"/>
        <rFont val="Calibri"/>
        <family val="2"/>
        <scheme val="minor"/>
      </rPr>
      <t>AA'</t>
    </r>
  </si>
  <si>
    <r>
      <t>v</t>
    </r>
    <r>
      <rPr>
        <vertAlign val="subscript"/>
        <sz val="11"/>
        <color theme="1"/>
        <rFont val="Calibri"/>
        <family val="2"/>
        <scheme val="minor"/>
      </rPr>
      <t>PP'</t>
    </r>
  </si>
  <si>
    <r>
      <t>v</t>
    </r>
    <r>
      <rPr>
        <vertAlign val="subscript"/>
        <sz val="11"/>
        <color theme="1"/>
        <rFont val="Calibri"/>
        <family val="2"/>
        <scheme val="minor"/>
      </rPr>
      <t>BB'</t>
    </r>
  </si>
  <si>
    <r>
      <t>n</t>
    </r>
    <r>
      <rPr>
        <vertAlign val="subscript"/>
        <sz val="11"/>
        <color theme="1"/>
        <rFont val="Calibri"/>
        <family val="2"/>
        <scheme val="minor"/>
      </rPr>
      <t>AA'</t>
    </r>
  </si>
  <si>
    <r>
      <t>n</t>
    </r>
    <r>
      <rPr>
        <vertAlign val="subscript"/>
        <sz val="11"/>
        <color theme="1"/>
        <rFont val="Calibri"/>
        <family val="2"/>
        <scheme val="minor"/>
      </rPr>
      <t>PP'</t>
    </r>
  </si>
  <si>
    <r>
      <t>n</t>
    </r>
    <r>
      <rPr>
        <vertAlign val="subscript"/>
        <sz val="11"/>
        <color theme="1"/>
        <rFont val="Calibri"/>
        <family val="2"/>
        <scheme val="minor"/>
      </rPr>
      <t>BB'</t>
    </r>
  </si>
  <si>
    <r>
      <t>a</t>
    </r>
    <r>
      <rPr>
        <vertAlign val="subscript"/>
        <sz val="11"/>
        <color theme="1"/>
        <rFont val="Calibri"/>
        <family val="2"/>
        <scheme val="minor"/>
      </rPr>
      <t>WOT_TEST</t>
    </r>
  </si>
  <si>
    <t>As declared by the manufacturer</t>
  </si>
  <si>
    <t>for vehicles with ICE for propulsion (ICE, HEV)</t>
  </si>
  <si>
    <t>Rated Engine Speed S</t>
  </si>
  <si>
    <t>Select "Y", if Sound Enhancement Systems (SES) are used working beyond AVAS</t>
  </si>
  <si>
    <r>
      <t>Vehicle Length l</t>
    </r>
    <r>
      <rPr>
        <vertAlign val="subscript"/>
        <sz val="11"/>
        <color theme="1"/>
        <rFont val="Calibri"/>
        <family val="2"/>
        <scheme val="minor"/>
      </rPr>
      <t>veh</t>
    </r>
  </si>
  <si>
    <t>Aspect Ratio</t>
  </si>
  <si>
    <t>mm</t>
  </si>
  <si>
    <t>percent</t>
  </si>
  <si>
    <t>inch</t>
  </si>
  <si>
    <t>Offroad Vehicle</t>
  </si>
  <si>
    <r>
      <t>Mass m</t>
    </r>
    <r>
      <rPr>
        <vertAlign val="subscript"/>
        <sz val="11"/>
        <color theme="1"/>
        <rFont val="Calibri"/>
        <family val="2"/>
        <scheme val="minor"/>
      </rPr>
      <t>ro</t>
    </r>
  </si>
  <si>
    <t>As used in Annex 3 paragraph 3.1.2.1.</t>
  </si>
  <si>
    <t>May be set to 5 m according to Annex 3 provisions, if used so</t>
  </si>
  <si>
    <t>In case (other) was selected,  provide a short explanation:</t>
  </si>
  <si>
    <t>Select what is applicable; select (other) if you feel no definition as applicable</t>
  </si>
  <si>
    <t>SUMMER</t>
  </si>
  <si>
    <t>Tyre Class</t>
  </si>
  <si>
    <t>C1</t>
  </si>
  <si>
    <t>Select (Y) if tyres bear this marking</t>
  </si>
  <si>
    <t>Snow Tyre</t>
  </si>
  <si>
    <t>Snow Tyre for severe condition</t>
  </si>
  <si>
    <t>Competition</t>
  </si>
  <si>
    <t>Special Use</t>
  </si>
  <si>
    <t>Traction</t>
  </si>
  <si>
    <t>Professional Off-Road Use</t>
  </si>
  <si>
    <t>ICE-Symbol</t>
  </si>
  <si>
    <t>Limit values as applicable by UN R51.03 phase 2 at the time of type approval</t>
  </si>
  <si>
    <t>Value to be entered to the first decimal</t>
  </si>
  <si>
    <t>Value to be entered to the second decimal</t>
  </si>
  <si>
    <t>Gear HIGH</t>
  </si>
  <si>
    <t>Select from the pulldown menu either (D) or a gear (1)-(8)</t>
  </si>
  <si>
    <t>Select from the pulldown menu a gear (2)-(10)</t>
  </si>
  <si>
    <t>Gear weigthing factor k</t>
  </si>
  <si>
    <r>
      <t>Partial load factor k</t>
    </r>
    <r>
      <rPr>
        <vertAlign val="subscript"/>
        <sz val="11"/>
        <color theme="1"/>
        <rFont val="Calibri"/>
        <family val="2"/>
        <scheme val="minor"/>
      </rPr>
      <t>P</t>
    </r>
  </si>
  <si>
    <t>In case of a test in (D) or a single gear select (Y), for a two gear test select (N)</t>
  </si>
  <si>
    <t>ACCELERATION Test Results for the Gear LOW/SINGLE as entered above</t>
  </si>
  <si>
    <t>CONSTANT SPEED Test Results for the Gear LOW/SINGLE as entered above</t>
  </si>
  <si>
    <t>If applicable, ACCELERATION Test Results for the Gear HIGH as entered above</t>
  </si>
  <si>
    <t>If applicable, CONSTANT SPEED Test Results for the Gear HIGH as entered above</t>
  </si>
  <si>
    <t>for a two gear test enter the value to the second decimal, in case of single gear enter 1</t>
  </si>
  <si>
    <t>(Y) means ICE always ON; (START) or (END) means partly; (N) means completely  OFF</t>
  </si>
  <si>
    <t>Y/N/START/END</t>
  </si>
  <si>
    <t>Average of the 4 runs of Annex 3, value to be entered to the first decimal</t>
  </si>
  <si>
    <t>Average of the 4 runs of Annex 3, value to be entered as integer</t>
  </si>
  <si>
    <t>Average of the 4 runs, value to be entered to the second decimal</t>
  </si>
  <si>
    <t>Structure</t>
  </si>
  <si>
    <t>(0) Instructions</t>
  </si>
  <si>
    <t>NO</t>
  </si>
  <si>
    <t>YES</t>
  </si>
  <si>
    <t>(1) Vehicle Data</t>
  </si>
  <si>
    <t>Confidential</t>
  </si>
  <si>
    <t>(2) Annex 3 - Data</t>
  </si>
  <si>
    <t>(3) Annex 9 - Setup Data</t>
  </si>
  <si>
    <t>(3a) Annex 9 - Tyre Rolling Sound Data</t>
  </si>
  <si>
    <t>(4) Annex 9 Test Report Sheet</t>
  </si>
  <si>
    <t>(4a) Annex 9 - SUB Calculation</t>
  </si>
  <si>
    <t>(4b) Annex 9 - Parameter Table</t>
  </si>
  <si>
    <t>(5) Questionnaire</t>
  </si>
  <si>
    <t>YELLOW COLOR</t>
  </si>
  <si>
    <t>RED COLOR</t>
  </si>
  <si>
    <t>BLUE COLOR</t>
  </si>
  <si>
    <t>GREY COLOR</t>
  </si>
  <si>
    <t>NOTHING to be entered here, these are just headers</t>
  </si>
  <si>
    <t>Value to be entered as integer</t>
  </si>
  <si>
    <t>Value to be entered as integer, or to the first decimal</t>
  </si>
  <si>
    <t>Twin tyres on the axle</t>
  </si>
  <si>
    <t>Sheet Protection</t>
  </si>
  <si>
    <t>Assign minimum dynamic</t>
  </si>
  <si>
    <t>Check for Minimum Vehicle Dynamic (Needed for Model Consistency)</t>
  </si>
  <si>
    <t>x-factor</t>
  </si>
  <si>
    <t>OPTIONAL</t>
  </si>
  <si>
    <t>All work sheets are protected and cannot be modified per se. Where data are expected you can either enter values, or make a choice from a pulldown menu. 
There are different colors used in the sheet to help you for data entry.</t>
  </si>
  <si>
    <t>Data entry</t>
  </si>
  <si>
    <t>Parallel 
Hybrids</t>
  </si>
  <si>
    <t>Serial
Hybrids</t>
  </si>
  <si>
    <t>Determined based on the selection above</t>
  </si>
  <si>
    <t>2nd decimal</t>
  </si>
  <si>
    <t>1st decimal</t>
  </si>
  <si>
    <t>integer</t>
  </si>
  <si>
    <t>%-value</t>
  </si>
  <si>
    <t>provide a mode description</t>
  </si>
  <si>
    <t>Automatic Check
(do not edit)</t>
  </si>
  <si>
    <t>Auto Check
(so not edit)</t>
  </si>
  <si>
    <t>Automatically Calculated Values (do not edit)</t>
  </si>
  <si>
    <t>Conformity Assessment</t>
  </si>
  <si>
    <t>Space for comments by the test crew and/or technical service</t>
  </si>
  <si>
    <t>WHITE COLOR</t>
  </si>
  <si>
    <t>NOTHING to be entered here, these are just text cells</t>
  </si>
  <si>
    <t>Run Valid within Control Range</t>
  </si>
  <si>
    <t>Load</t>
  </si>
  <si>
    <t>Expected DELTA DYN
Sound</t>
  </si>
  <si>
    <t>RUN 
No.</t>
  </si>
  <si>
    <t>Type Approval Authority granting type approval</t>
  </si>
  <si>
    <t>Type Approval Administration Information</t>
  </si>
  <si>
    <t>Country</t>
  </si>
  <si>
    <t>Cruise Test Result Annex 3 (Gear LOW/SINGLE)</t>
  </si>
  <si>
    <t>Applicable Limit</t>
  </si>
  <si>
    <t>Questions</t>
  </si>
  <si>
    <t>No.</t>
  </si>
  <si>
    <t>Please explain in few word your rating. In case you had some issues, please list them below:</t>
  </si>
  <si>
    <t>How was the experience of the driver to match the target conditions??</t>
  </si>
  <si>
    <t>Please rate YES or NO</t>
  </si>
  <si>
    <t>Please rate from 5-1, with: 5 = EASY to 1= VERY HARD</t>
  </si>
  <si>
    <t>Please rate from 5-1, with: 5 = NO DIFFICULTIES to 1 = VERY HARD</t>
  </si>
  <si>
    <t>How was your experience in performing the RD-ASEP physical tests with a vehicle?</t>
  </si>
  <si>
    <t>Please rate from 5-1, with: 5 = EASY to 1 = TROUBLESOME</t>
  </si>
  <si>
    <t>Your rating (mark the tickbox of your choice with a "X")</t>
  </si>
  <si>
    <t xml:space="preserve">How easy was it getting involved with the RD-ASEP regulation text of UN R51.03 Annex 9? </t>
  </si>
  <si>
    <t>Did you face difficulties with your test equipment to measure / determine the requested parameter?</t>
  </si>
  <si>
    <t>Did you face any greater difficulties in understanding the RD-ASEP specifications?</t>
  </si>
  <si>
    <t>Did you face any greater difficulties in picking the essential RD-ASEP base model parameter from the Annex 3 test?</t>
  </si>
  <si>
    <t>Please rate from 5-1, with: 5 = NO DIFFICULTIES to 1 = TROUBLESOME</t>
  </si>
  <si>
    <t>Did you face difficulties to find valid test target conditions satisfying the control range specifications?</t>
  </si>
  <si>
    <r>
      <t xml:space="preserve">Questionnaire on RD-ASEP Application for Monitoring 
</t>
    </r>
    <r>
      <rPr>
        <b/>
        <sz val="16"/>
        <color rgb="FFFF0000"/>
        <rFont val="Calibri"/>
        <family val="2"/>
        <scheme val="minor"/>
      </rPr>
      <t>- Please help understanding your experience in applying RD-ASEP -</t>
    </r>
  </si>
  <si>
    <t>Did you try to eastablish your own RD-ASEP assessment sheet, aside from the provided template here?</t>
  </si>
  <si>
    <t>Were you able to reach an RD-ASEP evaluation for the vehicle to which you deliver this monitoring sheet?</t>
  </si>
  <si>
    <t>Please explain in few words your rating. In case you answered with NO, please provide here your observations:</t>
  </si>
  <si>
    <t>Please explain in few words your rating. In case you answered with NO, please explain why:</t>
  </si>
  <si>
    <t>Please explain in few words your rating. In case you had some issues, please list them below:</t>
  </si>
  <si>
    <t>N.A.</t>
  </si>
  <si>
    <t>Selected Measure from Table 1</t>
  </si>
  <si>
    <t>Did you use devices or measures to enable tests within the acceleration boundaries</t>
  </si>
  <si>
    <t>See Annex 3 Appendix Table 1 No. 3</t>
  </si>
  <si>
    <t xml:space="preserve">Have special test provision been applied? </t>
  </si>
  <si>
    <t>Reference vehicle length l</t>
  </si>
  <si>
    <r>
      <t>l</t>
    </r>
    <r>
      <rPr>
        <vertAlign val="subscript"/>
        <sz val="11"/>
        <color theme="1"/>
        <rFont val="Calibri"/>
        <family val="2"/>
        <scheme val="minor"/>
      </rPr>
      <t>preacc</t>
    </r>
  </si>
  <si>
    <t>ICE operational ?</t>
  </si>
  <si>
    <t>Q 1</t>
  </si>
  <si>
    <t>Q 2</t>
  </si>
  <si>
    <t>Q 3</t>
  </si>
  <si>
    <t>Q 4</t>
  </si>
  <si>
    <t>Q 5</t>
  </si>
  <si>
    <t>Q 6</t>
  </si>
  <si>
    <t>Q 7</t>
  </si>
  <si>
    <t>Q 8</t>
  </si>
  <si>
    <t>Q 9</t>
  </si>
  <si>
    <t>3.2.3.1</t>
  </si>
  <si>
    <t>3.2.3.2</t>
  </si>
  <si>
    <t>3.2.3.3.</t>
  </si>
  <si>
    <t>CASES (see Annex 9 Appendix)</t>
  </si>
  <si>
    <t>3.2.3.4.</t>
  </si>
  <si>
    <t>3.2.4.1</t>
  </si>
  <si>
    <t>3.2.4.2</t>
  </si>
  <si>
    <t>3.2.4.3.</t>
  </si>
  <si>
    <t>3.2.4.4.</t>
  </si>
  <si>
    <t>See  provisions of Annex 9 Appendix paragraph 3.6.1.1.</t>
  </si>
  <si>
    <t>Select D(EV) for tests of EV and D(HEV) for HEV in EV mode</t>
  </si>
  <si>
    <t>Value is selected from the upper table to the right, in case of HEV with a parallel operation principle, or from the lower table to the right, in case of HEV with a serial operation principle</t>
  </si>
  <si>
    <t>In case of a HEV, select serial (S) or parallel (P), select (N) for ICE or EV</t>
  </si>
  <si>
    <t>Was the ICE operational during ACC Test in Annex 3 ?</t>
  </si>
  <si>
    <t>Was the ICE operational during CRS Test in Annex 3 ?</t>
  </si>
  <si>
    <t>Mandatory in case of HEV, for ICE and EV selection is ignored</t>
  </si>
  <si>
    <t>Determined Hybrid Case</t>
  </si>
  <si>
    <t>Which gear was used for the Acceleration Test Annex 3</t>
  </si>
  <si>
    <t>Which gear was used for theConstant Speed Test Annex 3</t>
  </si>
  <si>
    <t>Choise is mandatory in Case of Hybrids (CASES 2 and 4)</t>
  </si>
  <si>
    <t>Choice is mandatory in Case of Hybrids (CASES 3 and 4)</t>
  </si>
  <si>
    <r>
      <t>Check Dynamic L</t>
    </r>
    <r>
      <rPr>
        <vertAlign val="subscript"/>
        <sz val="11"/>
        <color theme="1"/>
        <rFont val="Calibri"/>
        <family val="2"/>
        <scheme val="minor"/>
      </rPr>
      <t>ACC_ANCHOR</t>
    </r>
    <r>
      <rPr>
        <sz val="11"/>
        <color theme="1"/>
        <rFont val="Calibri"/>
        <family val="2"/>
        <scheme val="minor"/>
      </rPr>
      <t>-L</t>
    </r>
    <r>
      <rPr>
        <vertAlign val="subscript"/>
        <sz val="11"/>
        <color theme="1"/>
        <rFont val="Calibri"/>
        <family val="2"/>
        <scheme val="minor"/>
      </rPr>
      <t>CRS_ANCHOR</t>
    </r>
  </si>
  <si>
    <r>
      <t>This sheet provides the necessary space for the RD-ASEP test results themselves. Please enter the the target conditions (Columns C-F) and the test results (Columns V-N) into this table. There is an additional column P to allow you comments, if you see a need. Beside that, you have nothing to enter on top.</t>
    </r>
    <r>
      <rPr>
        <b/>
        <sz val="11"/>
        <color rgb="FFFF0000"/>
        <rFont val="Calibri"/>
        <family val="2"/>
        <scheme val="minor"/>
      </rPr>
      <t xml:space="preserve"> The sheet does automatically check (Column O), whether the selected target condition provides a result within the boundary condition as specified by Annex 9 paragraph 4.4. In case a test run is highlighted as (VOID), this test run cannot be kept in the first 15 lines. You may copy these data for information in the lower area. The first 15 lines for test data (rows 19-33) are reserved for (VALID) runs only.</t>
    </r>
  </si>
  <si>
    <t>NOTHING to be entered here!
This sheet contains the parameter table as adopted for Annex 9. The selection for column (A), (B), or (C) is done 
in the sheet (3) Annex 9 - Setup Data, cell (C4).</t>
  </si>
  <si>
    <t>Q 10</t>
  </si>
  <si>
    <t>Please explain in few words your rating. What was most time consuming, if applicable?</t>
  </si>
  <si>
    <r>
      <t>v</t>
    </r>
    <r>
      <rPr>
        <vertAlign val="subscript"/>
        <sz val="14"/>
        <color rgb="FF000000"/>
        <rFont val="Calibri"/>
        <family val="2"/>
        <scheme val="minor"/>
      </rPr>
      <t>TEST</t>
    </r>
  </si>
  <si>
    <r>
      <rPr>
        <sz val="14"/>
        <color rgb="FF000000"/>
        <rFont val="Symbol"/>
        <family val="1"/>
        <charset val="2"/>
      </rPr>
      <t>q</t>
    </r>
    <r>
      <rPr>
        <vertAlign val="subscript"/>
        <sz val="14"/>
        <color rgb="FF000000"/>
        <rFont val="Calibri"/>
        <family val="2"/>
        <scheme val="minor"/>
      </rPr>
      <t>TR_LO</t>
    </r>
  </si>
  <si>
    <r>
      <rPr>
        <sz val="14"/>
        <color rgb="FF000000"/>
        <rFont val="Symbol"/>
        <family val="1"/>
        <charset val="2"/>
      </rPr>
      <t>q</t>
    </r>
    <r>
      <rPr>
        <vertAlign val="subscript"/>
        <sz val="14"/>
        <color rgb="FF000000"/>
        <rFont val="Calibri"/>
        <family val="2"/>
        <scheme val="minor"/>
      </rPr>
      <t>TR_HI</t>
    </r>
  </si>
  <si>
    <r>
      <rPr>
        <sz val="14"/>
        <color rgb="FF000000"/>
        <rFont val="Symbol"/>
        <family val="1"/>
        <charset val="2"/>
      </rPr>
      <t>q</t>
    </r>
    <r>
      <rPr>
        <vertAlign val="subscript"/>
        <sz val="14"/>
        <color rgb="FF000000"/>
        <rFont val="Calibri"/>
        <family val="2"/>
        <scheme val="minor"/>
      </rPr>
      <t>PT_LO</t>
    </r>
  </si>
  <si>
    <r>
      <rPr>
        <sz val="14"/>
        <color rgb="FF000000"/>
        <rFont val="Symbol"/>
        <family val="1"/>
        <charset val="2"/>
      </rPr>
      <t>q</t>
    </r>
    <r>
      <rPr>
        <vertAlign val="subscript"/>
        <sz val="14"/>
        <color rgb="FF000000"/>
        <rFont val="Calibri"/>
        <family val="2"/>
        <scheme val="minor"/>
      </rPr>
      <t>PT_HI</t>
    </r>
  </si>
  <si>
    <r>
      <t>n</t>
    </r>
    <r>
      <rPr>
        <vertAlign val="subscript"/>
        <sz val="14"/>
        <color rgb="FF000000"/>
        <rFont val="Calibri"/>
        <family val="2"/>
        <scheme val="minor"/>
      </rPr>
      <t>SHIFT_PT</t>
    </r>
  </si>
  <si>
    <r>
      <rPr>
        <sz val="14"/>
        <color rgb="FF000000"/>
        <rFont val="Symbol"/>
        <family val="1"/>
        <charset val="2"/>
      </rPr>
      <t>q</t>
    </r>
    <r>
      <rPr>
        <vertAlign val="subscript"/>
        <sz val="14"/>
        <color rgb="FF000000"/>
        <rFont val="Calibri"/>
        <family val="2"/>
        <scheme val="minor"/>
      </rPr>
      <t>DYN_LO</t>
    </r>
  </si>
  <si>
    <r>
      <rPr>
        <sz val="14"/>
        <color rgb="FF000000"/>
        <rFont val="Symbol"/>
        <family val="1"/>
        <charset val="2"/>
      </rPr>
      <t>q</t>
    </r>
    <r>
      <rPr>
        <vertAlign val="subscript"/>
        <sz val="14"/>
        <color rgb="FF000000"/>
        <rFont val="Calibri"/>
        <family val="2"/>
        <scheme val="minor"/>
      </rPr>
      <t>DYN_HI</t>
    </r>
  </si>
  <si>
    <r>
      <t>n</t>
    </r>
    <r>
      <rPr>
        <vertAlign val="subscript"/>
        <sz val="14"/>
        <color rgb="FF000000"/>
        <rFont val="Calibri"/>
        <family val="2"/>
        <scheme val="minor"/>
      </rPr>
      <t>SHIFT_DYN</t>
    </r>
  </si>
  <si>
    <r>
      <rPr>
        <sz val="14"/>
        <color rgb="FF000000"/>
        <rFont val="Symbol"/>
        <family val="1"/>
        <charset val="2"/>
      </rPr>
      <t>a</t>
    </r>
    <r>
      <rPr>
        <vertAlign val="subscript"/>
        <sz val="14"/>
        <color rgb="FF000000"/>
        <rFont val="Calibri"/>
        <family val="2"/>
        <scheme val="minor"/>
      </rPr>
      <t>1</t>
    </r>
  </si>
  <si>
    <r>
      <rPr>
        <sz val="14"/>
        <color rgb="FF000000"/>
        <rFont val="Symbol"/>
        <family val="1"/>
        <charset val="2"/>
      </rPr>
      <t>a</t>
    </r>
    <r>
      <rPr>
        <vertAlign val="subscript"/>
        <sz val="14"/>
        <color rgb="FF000000"/>
        <rFont val="Calibri"/>
        <family val="2"/>
        <scheme val="minor"/>
      </rPr>
      <t>2</t>
    </r>
  </si>
  <si>
    <t xml:space="preserve">SOUND FROM DYNAMICS SYSTEM 
UNDER LOAD  
</t>
  </si>
  <si>
    <r>
      <t>SOUND FROM DYNAMICS SYSTEM 
UNDER EXTENDED PERFORMANCE v</t>
    </r>
    <r>
      <rPr>
        <b/>
        <sz val="11"/>
        <color rgb="FF000000"/>
        <rFont val="Calibri"/>
        <family val="2"/>
      </rPr>
      <t>·</t>
    </r>
    <r>
      <rPr>
        <b/>
        <sz val="11"/>
        <color rgb="FF000000"/>
        <rFont val="Calibri"/>
        <family val="2"/>
        <scheme val="minor"/>
      </rPr>
      <t>a</t>
    </r>
  </si>
  <si>
    <t>SOUND FROM MECHANICAL SYSTEM 
UNDER NO LOAD</t>
  </si>
  <si>
    <t>SOUND FROM TYRE ROLLING SOUND 
UNDER NO LOAD</t>
  </si>
  <si>
    <t>ICE</t>
  </si>
  <si>
    <t>BEV, FCEV</t>
  </si>
  <si>
    <t>HEV</t>
  </si>
  <si>
    <r>
      <rPr>
        <sz val="11"/>
        <color theme="1"/>
        <rFont val="Symbol"/>
        <family val="1"/>
        <charset val="2"/>
      </rPr>
      <t>q</t>
    </r>
    <r>
      <rPr>
        <vertAlign val="subscript"/>
        <sz val="11"/>
        <color theme="1"/>
        <rFont val="Calibri"/>
        <family val="2"/>
      </rPr>
      <t>TR,LO</t>
    </r>
    <r>
      <rPr>
        <sz val="11"/>
        <color theme="1"/>
        <rFont val="Calibri"/>
        <family val="2"/>
        <scheme val="minor"/>
      </rPr>
      <t xml:space="preserve"> </t>
    </r>
    <r>
      <rPr>
        <u/>
        <sz val="11"/>
        <color theme="1"/>
        <rFont val="Calibri"/>
        <family val="2"/>
        <scheme val="minor"/>
      </rPr>
      <t>&lt;</t>
    </r>
    <r>
      <rPr>
        <sz val="11"/>
        <color theme="1"/>
        <rFont val="Calibri"/>
        <family val="2"/>
        <scheme val="minor"/>
      </rPr>
      <t xml:space="preserve"> 50 km/h</t>
    </r>
  </si>
  <si>
    <r>
      <rPr>
        <sz val="11"/>
        <color theme="1"/>
        <rFont val="Symbol"/>
        <family val="1"/>
        <charset val="2"/>
      </rPr>
      <t>q</t>
    </r>
    <r>
      <rPr>
        <vertAlign val="subscript"/>
        <sz val="11"/>
        <color theme="1"/>
        <rFont val="Calibri"/>
        <family val="2"/>
      </rPr>
      <t>PT,LO</t>
    </r>
    <r>
      <rPr>
        <sz val="11"/>
        <color theme="1"/>
        <rFont val="Calibri"/>
        <family val="2"/>
        <scheme val="minor"/>
      </rPr>
      <t xml:space="preserve"> </t>
    </r>
    <r>
      <rPr>
        <u/>
        <sz val="11"/>
        <color theme="1"/>
        <rFont val="Calibri"/>
        <family val="2"/>
        <scheme val="minor"/>
      </rPr>
      <t>&lt;</t>
    </r>
    <r>
      <rPr>
        <sz val="11"/>
        <color theme="1"/>
        <rFont val="Calibri"/>
        <family val="2"/>
        <scheme val="minor"/>
      </rPr>
      <t xml:space="preserve"> N</t>
    </r>
    <r>
      <rPr>
        <vertAlign val="subscript"/>
        <sz val="11"/>
        <color theme="1"/>
        <rFont val="Calibri"/>
        <family val="2"/>
        <scheme val="minor"/>
      </rPr>
      <t>BB_CRS_ANCHOR</t>
    </r>
  </si>
  <si>
    <r>
      <rPr>
        <sz val="11"/>
        <color theme="1"/>
        <rFont val="Symbol"/>
        <family val="1"/>
        <charset val="2"/>
      </rPr>
      <t>q</t>
    </r>
    <r>
      <rPr>
        <vertAlign val="subscript"/>
        <sz val="11"/>
        <color theme="1"/>
        <rFont val="Calibri"/>
        <family val="2"/>
      </rPr>
      <t>DYN,LO</t>
    </r>
    <r>
      <rPr>
        <sz val="11"/>
        <color theme="1"/>
        <rFont val="Calibri"/>
        <family val="2"/>
        <scheme val="minor"/>
      </rPr>
      <t xml:space="preserve"> </t>
    </r>
    <r>
      <rPr>
        <u/>
        <sz val="11"/>
        <color theme="1"/>
        <rFont val="Calibri"/>
        <family val="2"/>
        <scheme val="minor"/>
      </rPr>
      <t>&lt;</t>
    </r>
    <r>
      <rPr>
        <sz val="11"/>
        <color theme="1"/>
        <rFont val="Calibri"/>
        <family val="2"/>
        <scheme val="minor"/>
      </rPr>
      <t xml:space="preserve"> N</t>
    </r>
    <r>
      <rPr>
        <vertAlign val="subscript"/>
        <sz val="11"/>
        <color theme="1"/>
        <rFont val="Calibri"/>
        <family val="2"/>
        <scheme val="minor"/>
      </rPr>
      <t>BB_WOT_ANCHOR</t>
    </r>
  </si>
  <si>
    <r>
      <t>va</t>
    </r>
    <r>
      <rPr>
        <vertAlign val="subscript"/>
        <sz val="11"/>
        <color theme="1"/>
        <rFont val="Calibri"/>
        <family val="2"/>
        <scheme val="minor"/>
      </rPr>
      <t>ANCHOR</t>
    </r>
  </si>
  <si>
    <r>
      <t>L</t>
    </r>
    <r>
      <rPr>
        <vertAlign val="subscript"/>
        <sz val="11"/>
        <color theme="1"/>
        <rFont val="Calibri"/>
        <family val="2"/>
        <scheme val="minor"/>
      </rPr>
      <t>ACC_ANCHOR</t>
    </r>
  </si>
  <si>
    <t xml:space="preserve">Exhaust Silencing System with Variable Geometry fitted </t>
  </si>
  <si>
    <t>According to Annex 9 paragraph 2.1</t>
  </si>
  <si>
    <t>Select ICE, or EV, or HEV (any electric hybrid technology PHEV, …) or other (HV)</t>
  </si>
  <si>
    <t>Value to be entered as capital letter</t>
  </si>
  <si>
    <t>Exterior Sound Enhancement Systems fitted (see Annex 9 paragraph 2.2)</t>
  </si>
  <si>
    <r>
      <t>L</t>
    </r>
    <r>
      <rPr>
        <vertAlign val="subscript"/>
        <sz val="11"/>
        <color theme="1"/>
        <rFont val="Calibri"/>
        <family val="2"/>
        <scheme val="minor"/>
      </rPr>
      <t>CRS_TEST</t>
    </r>
  </si>
  <si>
    <r>
      <t>v</t>
    </r>
    <r>
      <rPr>
        <vertAlign val="subscript"/>
        <sz val="11"/>
        <color theme="1"/>
        <rFont val="Calibri"/>
        <family val="2"/>
        <scheme val="minor"/>
      </rPr>
      <t>CRS_BB'_TEST</t>
    </r>
  </si>
  <si>
    <r>
      <t>n</t>
    </r>
    <r>
      <rPr>
        <vertAlign val="subscript"/>
        <sz val="11"/>
        <color theme="1"/>
        <rFont val="Calibri"/>
        <family val="2"/>
        <scheme val="minor"/>
      </rPr>
      <t>CRS_BB'_TEST</t>
    </r>
  </si>
  <si>
    <r>
      <t>L</t>
    </r>
    <r>
      <rPr>
        <vertAlign val="subscript"/>
        <sz val="11"/>
        <color theme="1"/>
        <rFont val="Calibri"/>
        <family val="2"/>
        <scheme val="minor"/>
      </rPr>
      <t>WOT_TEST</t>
    </r>
  </si>
  <si>
    <t>See Annex 3 Appendix Table 1 first and second column</t>
  </si>
  <si>
    <t>Select the applicable column A, or B or C from the Parameter table (see 4b)</t>
  </si>
  <si>
    <t>From (1) Vehicle Data:  serial (S), parallel (P) or no Hybrid (N)</t>
  </si>
  <si>
    <t>Selected gear or range (D) for this test</t>
  </si>
  <si>
    <t>kph/1000rpm</t>
  </si>
  <si>
    <t xml:space="preserve">Maximum vehicle acceleration determined by discrete tests, which are not part of the RD-ASEP assessment (see Annex 9; Appendix 1; paragraph </t>
  </si>
  <si>
    <t>Will automatically select 30 for EV and 20 for Hybrids in EV mode</t>
  </si>
  <si>
    <t>LOW PMR VEHICLE CHECK (Emulation of constant speed reference)</t>
  </si>
  <si>
    <t>PMR &lt;25</t>
  </si>
  <si>
    <t>Propulsion type</t>
  </si>
  <si>
    <r>
      <t>L</t>
    </r>
    <r>
      <rPr>
        <vertAlign val="subscript"/>
        <sz val="11"/>
        <rFont val="Calibri"/>
        <family val="2"/>
        <scheme val="minor"/>
      </rPr>
      <t>CRS_ANCHOR</t>
    </r>
  </si>
  <si>
    <r>
      <t>L</t>
    </r>
    <r>
      <rPr>
        <vertAlign val="subscript"/>
        <sz val="11"/>
        <rFont val="Calibri"/>
        <family val="2"/>
        <scheme val="minor"/>
      </rPr>
      <t>ACC_ANCHOR</t>
    </r>
  </si>
  <si>
    <r>
      <t>N</t>
    </r>
    <r>
      <rPr>
        <vertAlign val="subscript"/>
        <sz val="11"/>
        <rFont val="Calibri"/>
        <family val="2"/>
        <scheme val="minor"/>
      </rPr>
      <t>ACC_ANCHOR</t>
    </r>
  </si>
  <si>
    <r>
      <t>N</t>
    </r>
    <r>
      <rPr>
        <vertAlign val="subscript"/>
        <sz val="11"/>
        <rFont val="Calibri"/>
        <family val="2"/>
        <scheme val="minor"/>
      </rPr>
      <t>CRS_ANCHOR</t>
    </r>
  </si>
  <si>
    <r>
      <rPr>
        <b/>
        <sz val="10"/>
        <color rgb="FF000000"/>
        <rFont val="Calibri"/>
        <family val="2"/>
      </rPr>
      <t>Start Point Acceleration</t>
    </r>
    <r>
      <rPr>
        <b/>
        <sz val="11"/>
        <color rgb="FF000000"/>
        <rFont val="Calibri"/>
        <family val="2"/>
      </rPr>
      <t xml:space="preserve">
</t>
    </r>
    <r>
      <rPr>
        <sz val="8"/>
        <color rgb="FF000000"/>
        <rFont val="Calibri"/>
        <family val="2"/>
      </rPr>
      <t>(pre-acceleration length)</t>
    </r>
  </si>
  <si>
    <t>How do you rate the necessary workload for RD-ASEP in comparison to the current ASEP (when tests are carried out)?</t>
  </si>
  <si>
    <t>C1/C2/C3</t>
  </si>
  <si>
    <r>
      <t>L</t>
    </r>
    <r>
      <rPr>
        <vertAlign val="subscript"/>
        <sz val="11"/>
        <color theme="1"/>
        <rFont val="Calibri"/>
        <family val="2"/>
        <scheme val="minor"/>
      </rPr>
      <t>TEST</t>
    </r>
    <r>
      <rPr>
        <sz val="11"/>
        <color theme="1"/>
        <rFont val="Calibri"/>
        <family val="2"/>
        <scheme val="minor"/>
      </rPr>
      <t xml:space="preserve"> (after correction)</t>
    </r>
  </si>
  <si>
    <r>
      <t>n</t>
    </r>
    <r>
      <rPr>
        <vertAlign val="subscript"/>
        <sz val="11"/>
        <color theme="1"/>
        <rFont val="Calibri"/>
        <family val="2"/>
        <scheme val="minor"/>
      </rPr>
      <t>BB'_TEST</t>
    </r>
    <r>
      <rPr>
        <sz val="11"/>
        <color theme="1"/>
        <rFont val="Calibri"/>
        <family val="2"/>
        <scheme val="minor"/>
      </rPr>
      <t xml:space="preserve"> (after correction)</t>
    </r>
  </si>
  <si>
    <r>
      <t>v</t>
    </r>
    <r>
      <rPr>
        <vertAlign val="subscript"/>
        <sz val="11"/>
        <color theme="1"/>
        <rFont val="Calibri"/>
        <family val="2"/>
        <scheme val="minor"/>
      </rPr>
      <t>BB'_TEST</t>
    </r>
    <r>
      <rPr>
        <sz val="11"/>
        <color theme="1"/>
        <rFont val="Calibri"/>
        <family val="2"/>
        <scheme val="minor"/>
      </rPr>
      <t xml:space="preserve"> (after correction)</t>
    </r>
  </si>
  <si>
    <t>AVAS
Addition, 
if fitted</t>
  </si>
  <si>
    <t>GRBP/documents-reference-only</t>
  </si>
  <si>
    <t>Document Version</t>
  </si>
  <si>
    <t>Enter corrected sound level, value to the first decimal</t>
  </si>
  <si>
    <r>
      <t>*</t>
    </r>
    <r>
      <rPr>
        <sz val="9"/>
        <color rgb="FFFF0000"/>
        <rFont val="Calibri"/>
        <family val="2"/>
        <scheme val="minor"/>
      </rPr>
      <t xml:space="preserve"> if applicable</t>
    </r>
  </si>
  <si>
    <t>Automatically taken from the sheet (1) Vehicle Data, value to the third decimal</t>
  </si>
  <si>
    <t>Vehicle satisfying the specification of UN R51.03 paragraph 6.2.2.2</t>
  </si>
  <si>
    <r>
      <t xml:space="preserve">Follow the definitions of UN R51.03 main body paragraph </t>
    </r>
    <r>
      <rPr>
        <sz val="11"/>
        <color theme="1"/>
        <rFont val="Calibri"/>
        <family val="2"/>
        <scheme val="minor"/>
      </rPr>
      <t>2.11.</t>
    </r>
  </si>
  <si>
    <t>Vehicle Speed to Engine Speed Ratio (values entered with a precision to the first decimal), for Evs leave all cells empty</t>
  </si>
  <si>
    <t>Select the number of gears; for vehicles without transmission select (NONE)</t>
  </si>
  <si>
    <t>Select what is applicable</t>
  </si>
  <si>
    <t>Reinforced / extra load</t>
  </si>
  <si>
    <t>Enter mode (if applicable) used for the tests, characters expected</t>
  </si>
  <si>
    <r>
      <t>Check validity of L</t>
    </r>
    <r>
      <rPr>
        <vertAlign val="subscript"/>
        <sz val="11"/>
        <color theme="1"/>
        <rFont val="Calibri"/>
        <family val="2"/>
        <scheme val="minor"/>
      </rPr>
      <t>TR_REF</t>
    </r>
    <r>
      <rPr>
        <sz val="11"/>
        <color theme="1"/>
        <rFont val="Calibri"/>
        <family val="2"/>
        <scheme val="minor"/>
      </rPr>
      <t xml:space="preserve"> (when Direct Measurement (M) is selected)</t>
    </r>
  </si>
  <si>
    <r>
      <t>Check if energy of L</t>
    </r>
    <r>
      <rPr>
        <vertAlign val="subscript"/>
        <sz val="11"/>
        <color theme="1"/>
        <rFont val="Calibri"/>
        <family val="2"/>
        <scheme val="minor"/>
      </rPr>
      <t>TR_REF</t>
    </r>
    <r>
      <rPr>
        <sz val="11"/>
        <color theme="1"/>
        <rFont val="Calibri"/>
        <family val="2"/>
        <scheme val="minor"/>
      </rPr>
      <t xml:space="preserve"> is lower than 99% of energy from L</t>
    </r>
    <r>
      <rPr>
        <vertAlign val="subscript"/>
        <sz val="11"/>
        <color theme="1"/>
        <rFont val="Calibri"/>
        <family val="2"/>
        <scheme val="minor"/>
      </rPr>
      <t>CRS,REF</t>
    </r>
  </si>
  <si>
    <r>
      <t xml:space="preserve">Tyre share of the Constant Speed Test (Determined either by Measurement or Standard Value taken from Parameter Table </t>
    </r>
    <r>
      <rPr>
        <b/>
        <sz val="11"/>
        <color rgb="FFFF0000"/>
        <rFont val="Calibri"/>
        <family val="2"/>
        <scheme val="minor"/>
      </rPr>
      <t>===&gt; CLARIFICATION NEEDED, NO CHECK IF L</t>
    </r>
    <r>
      <rPr>
        <b/>
        <vertAlign val="subscript"/>
        <sz val="11"/>
        <color rgb="FFFF0000"/>
        <rFont val="Calibri"/>
        <family val="2"/>
        <scheme val="minor"/>
      </rPr>
      <t>TR_REF</t>
    </r>
    <r>
      <rPr>
        <b/>
        <sz val="11"/>
        <color rgb="FFFF0000"/>
        <rFont val="Calibri"/>
        <family val="2"/>
        <scheme val="minor"/>
      </rPr>
      <t>&gt;L</t>
    </r>
    <r>
      <rPr>
        <b/>
        <vertAlign val="subscript"/>
        <sz val="11"/>
        <color rgb="FFFF0000"/>
        <rFont val="Calibri"/>
        <family val="2"/>
        <scheme val="minor"/>
      </rPr>
      <t>CRS,REF</t>
    </r>
  </si>
  <si>
    <r>
      <t>V</t>
    </r>
    <r>
      <rPr>
        <vertAlign val="subscript"/>
        <sz val="11"/>
        <rFont val="Calibri"/>
        <family val="2"/>
        <scheme val="minor"/>
      </rPr>
      <t>CRS_ANCHOR</t>
    </r>
  </si>
  <si>
    <r>
      <t>v</t>
    </r>
    <r>
      <rPr>
        <vertAlign val="subscript"/>
        <sz val="11"/>
        <color theme="1"/>
        <rFont val="Calibri"/>
        <family val="2"/>
        <scheme val="minor"/>
      </rPr>
      <t>AA'</t>
    </r>
    <r>
      <rPr>
        <sz val="11"/>
        <color theme="1"/>
        <rFont val="Calibri"/>
        <family val="2"/>
        <scheme val="minor"/>
      </rPr>
      <t xml:space="preserve"> determined for the test</t>
    </r>
  </si>
  <si>
    <r>
      <t>v</t>
    </r>
    <r>
      <rPr>
        <vertAlign val="subscript"/>
        <sz val="11"/>
        <color theme="1"/>
        <rFont val="Calibri"/>
        <family val="2"/>
        <scheme val="minor"/>
      </rPr>
      <t>PP'</t>
    </r>
    <r>
      <rPr>
        <sz val="11"/>
        <color theme="1"/>
        <rFont val="Calibri"/>
        <family val="2"/>
        <scheme val="minor"/>
      </rPr>
      <t xml:space="preserve"> as reported</t>
    </r>
  </si>
  <si>
    <r>
      <t>v</t>
    </r>
    <r>
      <rPr>
        <vertAlign val="subscript"/>
        <sz val="11"/>
        <color theme="1"/>
        <rFont val="Calibri"/>
        <family val="2"/>
        <scheme val="minor"/>
      </rPr>
      <t>BB'</t>
    </r>
    <r>
      <rPr>
        <sz val="11"/>
        <color theme="1"/>
        <rFont val="Calibri"/>
        <family val="2"/>
        <scheme val="minor"/>
      </rPr>
      <t xml:space="preserve"> as reported</t>
    </r>
  </si>
  <si>
    <r>
      <t>n</t>
    </r>
    <r>
      <rPr>
        <vertAlign val="subscript"/>
        <sz val="11"/>
        <color theme="1"/>
        <rFont val="Calibri"/>
        <family val="2"/>
        <scheme val="minor"/>
      </rPr>
      <t>AA'</t>
    </r>
    <r>
      <rPr>
        <sz val="11"/>
        <color theme="1"/>
        <rFont val="Calibri"/>
        <family val="2"/>
        <scheme val="minor"/>
      </rPr>
      <t xml:space="preserve"> as reported</t>
    </r>
  </si>
  <si>
    <r>
      <t>n</t>
    </r>
    <r>
      <rPr>
        <vertAlign val="subscript"/>
        <sz val="11"/>
        <color theme="1"/>
        <rFont val="Calibri"/>
        <family val="2"/>
        <scheme val="minor"/>
      </rPr>
      <t>PP'</t>
    </r>
    <r>
      <rPr>
        <sz val="11"/>
        <color theme="1"/>
        <rFont val="Calibri"/>
        <family val="2"/>
        <scheme val="minor"/>
      </rPr>
      <t xml:space="preserve"> as reported</t>
    </r>
  </si>
  <si>
    <r>
      <t>n</t>
    </r>
    <r>
      <rPr>
        <vertAlign val="subscript"/>
        <sz val="11"/>
        <color theme="1"/>
        <rFont val="Calibri"/>
        <family val="2"/>
        <scheme val="minor"/>
      </rPr>
      <t>BB'</t>
    </r>
    <r>
      <rPr>
        <sz val="11"/>
        <color theme="1"/>
        <rFont val="Calibri"/>
        <family val="2"/>
        <scheme val="minor"/>
      </rPr>
      <t xml:space="preserve"> as reported</t>
    </r>
  </si>
  <si>
    <r>
      <t>Vehicle Speed to Engine Speed Ratio v</t>
    </r>
    <r>
      <rPr>
        <vertAlign val="subscript"/>
        <sz val="11"/>
        <color theme="1"/>
        <rFont val="Calibri"/>
        <family val="2"/>
        <scheme val="minor"/>
      </rPr>
      <t>BB'</t>
    </r>
    <r>
      <rPr>
        <sz val="11"/>
        <color theme="1"/>
        <rFont val="Calibri"/>
        <family val="2"/>
        <scheme val="minor"/>
      </rPr>
      <t>/n</t>
    </r>
    <r>
      <rPr>
        <vertAlign val="subscript"/>
        <sz val="11"/>
        <color theme="1"/>
        <rFont val="Calibri"/>
        <family val="2"/>
        <scheme val="minor"/>
      </rPr>
      <t xml:space="preserve">BB' </t>
    </r>
    <r>
      <rPr>
        <sz val="11"/>
        <color theme="1"/>
        <rFont val="Calibri"/>
        <family val="2"/>
      </rPr>
      <t>·</t>
    </r>
    <r>
      <rPr>
        <sz val="11"/>
        <color theme="1"/>
        <rFont val="Calibri"/>
        <family val="2"/>
        <scheme val="minor"/>
      </rPr>
      <t>1000</t>
    </r>
  </si>
  <si>
    <r>
      <t>V</t>
    </r>
    <r>
      <rPr>
        <vertAlign val="subscript"/>
        <sz val="11"/>
        <rFont val="Calibri"/>
        <family val="2"/>
        <scheme val="minor"/>
      </rPr>
      <t>ACC_ANCHOR</t>
    </r>
  </si>
  <si>
    <t>ANNEX 3 Data</t>
  </si>
  <si>
    <t>n.a.</t>
  </si>
  <si>
    <t>Adjusted Data</t>
  </si>
  <si>
    <r>
      <t xml:space="preserve">These are calculated interim results and not required for documentation
</t>
    </r>
    <r>
      <rPr>
        <sz val="18"/>
        <color rgb="FFFF0000"/>
        <rFont val="Calibri"/>
        <family val="2"/>
        <scheme val="minor"/>
      </rPr>
      <t>DO NOT EDIT</t>
    </r>
  </si>
  <si>
    <t>Please rate from 5-1, with: 5 = SAME AS ANNEX 3 to 1 = COMPLICATED</t>
  </si>
  <si>
    <t>Please rate from 5-1, with: 5 = SAME AS ANNEX 3 to 1= COMPLICATED</t>
  </si>
  <si>
    <t>Please rate from 5-1, with: 5 = NO DIFFICULT to 1 = MANY VOID CONDITIONS</t>
  </si>
  <si>
    <t>Please rate from 5-1, with: 5 = MUCH LESS TIME to 1 = MUCH MORE TIME</t>
  </si>
  <si>
    <t>NOTHING to be entered here! This sheet contains subroutines for interim data calculation along with the Sound Expectation Model (SEM).</t>
  </si>
  <si>
    <r>
      <t xml:space="preserve">You can enter a value here, the remarks explain in which format. </t>
    </r>
    <r>
      <rPr>
        <b/>
        <sz val="11"/>
        <color rgb="FFFF0000"/>
        <rFont val="Calibri"/>
        <family val="2"/>
        <scheme val="minor"/>
      </rPr>
      <t xml:space="preserve">PLEASE FOLLOW THESE FORMAT INSTRUCTIONS. </t>
    </r>
    <r>
      <rPr>
        <sz val="11"/>
        <color theme="1"/>
        <rFont val="Calibri"/>
        <family val="2"/>
        <scheme val="minor"/>
      </rPr>
      <t xml:space="preserve">
Do not enter characters where numbers are expected. Example: Do NOT enter "n.a." or a "-" if you have nothing to enter. Just leave the cell blank in that case. 
The decimal separator is a komma, so please type values with counting decimal places as for example 72,4 and NOT 72.4!</t>
    </r>
  </si>
  <si>
    <r>
      <t xml:space="preserve">NOTHING to be entered here. </t>
    </r>
    <r>
      <rPr>
        <b/>
        <sz val="11"/>
        <color rgb="FFFF0000"/>
        <rFont val="Calibri"/>
        <family val="2"/>
        <scheme val="minor"/>
      </rPr>
      <t>If you try to edit these cells, you will receive an error message.</t>
    </r>
    <r>
      <rPr>
        <sz val="11"/>
        <color theme="1"/>
        <rFont val="Calibri"/>
        <family val="2"/>
        <scheme val="minor"/>
      </rPr>
      <t xml:space="preserve"> You may click on the cell, to see the content. But you cannot modify the content.</t>
    </r>
  </si>
  <si>
    <r>
      <t xml:space="preserve">Provides a pulldown menu, where you have limited choices. Select with mouse-klick. </t>
    </r>
    <r>
      <rPr>
        <b/>
        <sz val="11"/>
        <color rgb="FFFF0000"/>
        <rFont val="Calibri"/>
        <family val="2"/>
        <scheme val="minor"/>
      </rPr>
      <t>If you type-in a non-matching value, you will receive an error meassage.</t>
    </r>
  </si>
  <si>
    <r>
      <t xml:space="preserve">This questionnaire is a supplement to the monitoring. Basically it is not mandatory to complete the questionnaire. But the international working group is asking you for your support and help to understand, how RD-ASEP is functioning in the type approval reality. You help further to understand eventual difficulties you faced during the application of RD-ASEP. </t>
    </r>
    <r>
      <rPr>
        <b/>
        <sz val="11"/>
        <color rgb="FFFF0000"/>
        <rFont val="Calibri"/>
        <family val="2"/>
        <scheme val="minor"/>
      </rPr>
      <t>We ask you especially to complete the questionnaire, when you have faced difficulties in the application of RD-ASEP for the vehcile to which these monitoring data belong. This will help to avoid time intensive questions to the data owner, in case the data have inconsistencies!</t>
    </r>
  </si>
  <si>
    <t>Background 
Information</t>
  </si>
  <si>
    <t>There are 10 sheets in this Excel file, which are explained in their function below</t>
  </si>
  <si>
    <r>
      <t xml:space="preserve">Please complete the data sheet with </t>
    </r>
    <r>
      <rPr>
        <b/>
        <u/>
        <sz val="11"/>
        <color rgb="FFFF0000"/>
        <rFont val="Calibri"/>
        <family val="2"/>
        <scheme val="minor"/>
      </rPr>
      <t>all</t>
    </r>
    <r>
      <rPr>
        <sz val="11"/>
        <color theme="1"/>
        <rFont val="Calibri"/>
        <family val="2"/>
        <scheme val="minor"/>
      </rPr>
      <t xml:space="preserve"> information as applicable for the vehicle subject to the type approval. Albeit not all data are needed for the Sound Expectation Model (SEM), they will help to understand eventual problems, or provide information that can be used for an optimization of the ALGORITHM or PARAMETER TABLE of RD-ASEP. </t>
    </r>
  </si>
  <si>
    <r>
      <t xml:space="preserve">Please complete the data sheet with all information as applicable for the vehicle subject to the type approval. Albeit not all data are needed, they will help to understand eventual problems, or provide useful information for an optimization of the ALGORITHM or PARAMETER TABLE of RD-ASEP. 
</t>
    </r>
    <r>
      <rPr>
        <b/>
        <sz val="11"/>
        <color rgb="FFFF0000"/>
        <rFont val="Calibri"/>
        <family val="2"/>
        <scheme val="minor"/>
      </rPr>
      <t>Please keep in mind, for the purpose of RD-ASEP, Annex 3 data shall be used WITHOUT any temperature correction as introduced by supplement 7!</t>
    </r>
    <r>
      <rPr>
        <b/>
        <sz val="11"/>
        <color theme="1"/>
        <rFont val="Calibri"/>
        <family val="2"/>
        <scheme val="minor"/>
      </rPr>
      <t xml:space="preserve"> </t>
    </r>
    <r>
      <rPr>
        <b/>
        <sz val="11"/>
        <color rgb="FFFF0000"/>
        <rFont val="Calibri"/>
        <family val="2"/>
        <scheme val="minor"/>
      </rPr>
      <t>Please be precise in case you have used special provisions according Annex Appendix Table 1!</t>
    </r>
  </si>
  <si>
    <t xml:space="preserve">In this sheet essential preparations are made to correctly establish the Sound Expectation Model (SEM). 
Many calculations are done automatically or values are picked from other sheets. </t>
  </si>
  <si>
    <r>
      <t>The x-factor is basically taken from the applicable column (A/B/C) of the Parameter Table (T). If the manufacturer selects so, the x-factor for the Sound Expectation model might be determined directly by tyre rolling sound measurements with the tyres used before for Annex 3 tests. The measurements shall be done on the vehicle on the same day in junction with the Annex 3 measurements. If data are entered here, select (M) in sheet (3) Annex 9 - Setup Data, cell C28. A consistency check is done, so that your selection of (M) might be refused and forced back to (T), if your determined L</t>
    </r>
    <r>
      <rPr>
        <vertAlign val="subscript"/>
        <sz val="11"/>
        <color theme="1"/>
        <rFont val="Calibri"/>
        <family val="2"/>
        <scheme val="minor"/>
      </rPr>
      <t>TR_REF</t>
    </r>
    <r>
      <rPr>
        <sz val="11"/>
        <color theme="1"/>
        <rFont val="Calibri"/>
        <family val="2"/>
        <scheme val="minor"/>
      </rPr>
      <t xml:space="preserve"> is on an energy base exceeding 99% of the energy of the L</t>
    </r>
    <r>
      <rPr>
        <vertAlign val="subscript"/>
        <sz val="11"/>
        <color theme="1"/>
        <rFont val="Calibri"/>
        <family val="2"/>
        <scheme val="minor"/>
      </rPr>
      <t>CRS,REF</t>
    </r>
    <r>
      <rPr>
        <sz val="11"/>
        <color theme="1"/>
        <rFont val="Calibri"/>
        <family val="2"/>
        <scheme val="minor"/>
      </rPr>
      <t>.</t>
    </r>
  </si>
  <si>
    <t>Document Receiver</t>
  </si>
  <si>
    <t>Ambient Conditions</t>
  </si>
  <si>
    <t>°C</t>
  </si>
  <si>
    <t>hPa</t>
  </si>
  <si>
    <t>m/s</t>
  </si>
  <si>
    <t>Air temperature</t>
  </si>
  <si>
    <t>Test track surface temperature</t>
  </si>
  <si>
    <t>Humidity</t>
  </si>
  <si>
    <t>Air Pressure</t>
  </si>
  <si>
    <t>Wind Speed</t>
  </si>
  <si>
    <t>Tracking ID assigned by TAA to enable backtracing the data in case of questions</t>
  </si>
  <si>
    <t>Contact person in charge of RD-ASEP monitoring for TAA (Name, Mail, phone, …)</t>
  </si>
  <si>
    <t>(0) Data Tracking</t>
  </si>
  <si>
    <r>
      <t xml:space="preserve">Please enter here data as requested. These data are mandatory to have a clear identification of the data owner. 
</t>
    </r>
    <r>
      <rPr>
        <b/>
        <sz val="11"/>
        <color rgb="FFFF0000"/>
        <rFont val="Calibri"/>
        <family val="2"/>
        <scheme val="minor"/>
      </rPr>
      <t>These data are confidential and will not be published at any time, unless permitted by the type approval authority</t>
    </r>
    <r>
      <rPr>
        <sz val="11"/>
        <color theme="1"/>
        <rFont val="Calibri"/>
        <family val="2"/>
        <scheme val="minor"/>
      </rPr>
      <t>.</t>
    </r>
  </si>
  <si>
    <t>This is the sheet where you are. It provides assistance for filling in data into the monitoring form on RD-ASEP. 
No data are expected to be entered here. Just read everything carefully and follow the instructions.</t>
  </si>
  <si>
    <t>According to the provisions of Supplement 9 
to UN R51.03, the data shall be sent to the recipent stated here.</t>
  </si>
  <si>
    <r>
      <rPr>
        <b/>
        <sz val="11"/>
        <color rgb="FFFF0000"/>
        <rFont val="Calibri"/>
        <family val="2"/>
        <scheme val="minor"/>
      </rPr>
      <t>This document is the mandatory communication form for monitoring data during the RD-ASEP monitoring phase according to UN R51.03 Supplement 9</t>
    </r>
    <r>
      <rPr>
        <b/>
        <sz val="11"/>
        <color theme="1"/>
        <rFont val="Calibri"/>
        <family val="2"/>
        <scheme val="minor"/>
      </rPr>
      <t xml:space="preserve">. </t>
    </r>
    <r>
      <rPr>
        <sz val="11"/>
        <color theme="1"/>
        <rFont val="Calibri"/>
        <family val="2"/>
        <scheme val="minor"/>
      </rPr>
      <t xml:space="preserve">
Notwithstanding the specifications of the regulation, Type Approval Authorities, Technical Services, and vehicle manufacturers </t>
    </r>
    <r>
      <rPr>
        <u/>
        <sz val="11"/>
        <color rgb="FFFF0000"/>
        <rFont val="Calibri"/>
        <family val="2"/>
        <scheme val="minor"/>
      </rPr>
      <t>may</t>
    </r>
    <r>
      <rPr>
        <sz val="11"/>
        <color theme="1"/>
        <rFont val="Calibri"/>
        <family val="2"/>
        <scheme val="minor"/>
      </rPr>
      <t xml:space="preserve"> use this format for additional RD-ASEP measurements of approved vehicles, provided that all data have been determined on a single vehicle. This is applicable but not limited to extensions of type approval, or vehicles not falling under the scope of RD-ASEP, or approvals not falling within the monitoring period. All tests for Annex 3 and for Annex 9 shall be carried out on the same test track and under similar environmental conditions.</t>
    </r>
  </si>
  <si>
    <r>
      <t>n</t>
    </r>
    <r>
      <rPr>
        <vertAlign val="subscript"/>
        <sz val="11"/>
        <color theme="1"/>
        <rFont val="Calibri"/>
        <family val="2"/>
        <scheme val="minor"/>
      </rPr>
      <t>BB'_CRS_ANCHOR</t>
    </r>
  </si>
  <si>
    <r>
      <rPr>
        <sz val="11"/>
        <color theme="1"/>
        <rFont val="Symbol"/>
        <family val="1"/>
        <charset val="2"/>
      </rPr>
      <t>q</t>
    </r>
    <r>
      <rPr>
        <vertAlign val="subscript"/>
        <sz val="11"/>
        <color theme="1"/>
        <rFont val="Calibri"/>
        <family val="2"/>
      </rPr>
      <t>TR,HI</t>
    </r>
    <r>
      <rPr>
        <sz val="11"/>
        <color theme="1"/>
        <rFont val="Calibri"/>
        <family val="2"/>
        <scheme val="minor"/>
      </rPr>
      <t xml:space="preserve"> &gt; 50 km/h</t>
    </r>
  </si>
  <si>
    <t>Have test result corrections been applied?</t>
  </si>
  <si>
    <t>Annex 3 Test Special Provisions (Annex 3 Appendix Table 1)</t>
  </si>
  <si>
    <t>AT</t>
  </si>
  <si>
    <t>UPLOAD DATA TO SERVER</t>
  </si>
  <si>
    <t xml:space="preserve">This document serves to the RD-ASEP Monitoring as intoduced by Supplement 7 to UN R51.03. It is referenced in the Regulation under the footnote 4 introduced by Supplement 9 UN R51.03. </t>
  </si>
  <si>
    <t>The completed file shall be uploaded to a dataserver under the link provided here =========&gt;</t>
  </si>
  <si>
    <t>Not required by Annex 3 Appendix Table 1, value to the first decimal</t>
  </si>
  <si>
    <t>Enter corrected engine speed, value as integer</t>
  </si>
  <si>
    <t>EV (AVAS/SES)</t>
  </si>
  <si>
    <t>See Annex 9 Appendix Paragraph 2.7</t>
  </si>
  <si>
    <t>See Annex 9 Appendix Paragraph 2.7 last part</t>
  </si>
  <si>
    <t>M</t>
  </si>
  <si>
    <t>D (EV)</t>
  </si>
  <si>
    <r>
      <t>Applicable Reference Vehicle Speed v</t>
    </r>
    <r>
      <rPr>
        <vertAlign val="subscript"/>
        <sz val="11"/>
        <color theme="1"/>
        <rFont val="Calibri"/>
        <family val="2"/>
        <scheme val="minor"/>
      </rPr>
      <t>TEST</t>
    </r>
  </si>
  <si>
    <t>See Annex 9 Appendix 1 paragraph 2.2.1.2 (should be generally 50 km/h)</t>
  </si>
  <si>
    <t>Applicable Values from Annex 3 pass-by test (if needed, corrected for EV, for HEV by HYBRID CASE, and LOW PMR CONSIDERATIONS)</t>
  </si>
  <si>
    <r>
      <t>Check Dynamic L</t>
    </r>
    <r>
      <rPr>
        <vertAlign val="subscript"/>
        <sz val="11"/>
        <color theme="1"/>
        <rFont val="Calibri"/>
        <family val="2"/>
        <scheme val="minor"/>
      </rPr>
      <t>REF_TR_ADJ R</t>
    </r>
    <r>
      <rPr>
        <sz val="11"/>
        <color theme="1"/>
        <rFont val="Calibri"/>
        <family val="2"/>
        <scheme val="minor"/>
      </rPr>
      <t xml:space="preserve"> + L</t>
    </r>
    <r>
      <rPr>
        <vertAlign val="subscript"/>
        <sz val="11"/>
        <color theme="1"/>
        <rFont val="Calibri"/>
        <family val="2"/>
        <scheme val="minor"/>
      </rPr>
      <t>REF_PT_ADJ</t>
    </r>
    <r>
      <rPr>
        <sz val="11"/>
        <color theme="1"/>
        <rFont val="Calibri"/>
        <family val="2"/>
        <scheme val="minor"/>
      </rPr>
      <t xml:space="preserve"> </t>
    </r>
    <r>
      <rPr>
        <u/>
        <sz val="11"/>
        <color theme="1"/>
        <rFont val="Calibri"/>
        <family val="2"/>
        <scheme val="minor"/>
      </rPr>
      <t>&gt;</t>
    </r>
    <r>
      <rPr>
        <sz val="11"/>
        <color theme="1"/>
        <rFont val="Calibri"/>
        <family val="2"/>
        <scheme val="minor"/>
      </rPr>
      <t xml:space="preserve"> L</t>
    </r>
    <r>
      <rPr>
        <vertAlign val="subscript"/>
        <sz val="11"/>
        <color theme="1"/>
        <rFont val="Calibri"/>
        <family val="2"/>
        <scheme val="minor"/>
      </rPr>
      <t>ACC_ANCHOR</t>
    </r>
  </si>
  <si>
    <t>Values to the second decimal (See Definition Annex 9 Appendix 1 paragraph 3.2.1.)</t>
  </si>
  <si>
    <r>
      <t xml:space="preserve">Vehicle speed to engine speed </t>
    </r>
    <r>
      <rPr>
        <sz val="11"/>
        <color theme="1"/>
        <rFont val="Symbol"/>
        <family val="1"/>
        <charset val="2"/>
      </rPr>
      <t>k</t>
    </r>
    <r>
      <rPr>
        <sz val="11"/>
        <color theme="1"/>
        <rFont val="Calibri"/>
        <family val="2"/>
        <scheme val="minor"/>
      </rPr>
      <t xml:space="preserve"> of Gear 1</t>
    </r>
  </si>
  <si>
    <r>
      <t xml:space="preserve">Vehicle speed to engine speed </t>
    </r>
    <r>
      <rPr>
        <sz val="11"/>
        <color theme="1"/>
        <rFont val="Symbol"/>
        <family val="1"/>
        <charset val="2"/>
      </rPr>
      <t>k</t>
    </r>
    <r>
      <rPr>
        <sz val="11"/>
        <color theme="1"/>
        <rFont val="Calibri"/>
        <family val="2"/>
        <scheme val="minor"/>
      </rPr>
      <t xml:space="preserve"> of Gear 2</t>
    </r>
    <r>
      <rPr>
        <sz val="11"/>
        <color theme="1"/>
        <rFont val="Calibri"/>
        <family val="2"/>
        <scheme val="minor"/>
      </rPr>
      <t/>
    </r>
  </si>
  <si>
    <r>
      <t xml:space="preserve">Vehicle speed to engine speed </t>
    </r>
    <r>
      <rPr>
        <sz val="11"/>
        <color theme="1"/>
        <rFont val="Symbol"/>
        <family val="1"/>
        <charset val="2"/>
      </rPr>
      <t>k</t>
    </r>
    <r>
      <rPr>
        <sz val="11"/>
        <color theme="1"/>
        <rFont val="Calibri"/>
        <family val="2"/>
        <scheme val="minor"/>
      </rPr>
      <t xml:space="preserve"> of Gear 3</t>
    </r>
    <r>
      <rPr>
        <sz val="11"/>
        <color theme="1"/>
        <rFont val="Calibri"/>
        <family val="2"/>
        <scheme val="minor"/>
      </rPr>
      <t/>
    </r>
  </si>
  <si>
    <r>
      <t xml:space="preserve">Vehicle speed to engine speed </t>
    </r>
    <r>
      <rPr>
        <sz val="11"/>
        <color theme="1"/>
        <rFont val="Symbol"/>
        <family val="1"/>
        <charset val="2"/>
      </rPr>
      <t>k</t>
    </r>
    <r>
      <rPr>
        <sz val="11"/>
        <color theme="1"/>
        <rFont val="Calibri"/>
        <family val="2"/>
        <scheme val="minor"/>
      </rPr>
      <t xml:space="preserve"> of Gear 4</t>
    </r>
    <r>
      <rPr>
        <sz val="11"/>
        <color theme="1"/>
        <rFont val="Calibri"/>
        <family val="2"/>
        <scheme val="minor"/>
      </rPr>
      <t/>
    </r>
  </si>
  <si>
    <r>
      <t xml:space="preserve">Vehicle speed to engine speed </t>
    </r>
    <r>
      <rPr>
        <sz val="11"/>
        <color theme="1"/>
        <rFont val="Symbol"/>
        <family val="1"/>
        <charset val="2"/>
      </rPr>
      <t>k</t>
    </r>
    <r>
      <rPr>
        <sz val="11"/>
        <color theme="1"/>
        <rFont val="Calibri"/>
        <family val="2"/>
        <scheme val="minor"/>
      </rPr>
      <t xml:space="preserve"> of Gear 5</t>
    </r>
    <r>
      <rPr>
        <sz val="11"/>
        <color theme="1"/>
        <rFont val="Calibri"/>
        <family val="2"/>
        <scheme val="minor"/>
      </rPr>
      <t/>
    </r>
  </si>
  <si>
    <r>
      <t xml:space="preserve">Vehicle speed to engine speed </t>
    </r>
    <r>
      <rPr>
        <sz val="11"/>
        <color theme="1"/>
        <rFont val="Symbol"/>
        <family val="1"/>
        <charset val="2"/>
      </rPr>
      <t>k</t>
    </r>
    <r>
      <rPr>
        <sz val="11"/>
        <color theme="1"/>
        <rFont val="Calibri"/>
        <family val="2"/>
        <scheme val="minor"/>
      </rPr>
      <t xml:space="preserve"> of Gear 6</t>
    </r>
    <r>
      <rPr>
        <sz val="11"/>
        <color theme="1"/>
        <rFont val="Calibri"/>
        <family val="2"/>
        <scheme val="minor"/>
      </rPr>
      <t/>
    </r>
  </si>
  <si>
    <r>
      <t xml:space="preserve">Vehicle speed to engine speed </t>
    </r>
    <r>
      <rPr>
        <sz val="11"/>
        <color theme="1"/>
        <rFont val="Symbol"/>
        <family val="1"/>
        <charset val="2"/>
      </rPr>
      <t>k</t>
    </r>
    <r>
      <rPr>
        <sz val="11"/>
        <color theme="1"/>
        <rFont val="Calibri"/>
        <family val="2"/>
        <scheme val="minor"/>
      </rPr>
      <t xml:space="preserve"> of Gear 7</t>
    </r>
    <r>
      <rPr>
        <sz val="11"/>
        <color theme="1"/>
        <rFont val="Calibri"/>
        <family val="2"/>
        <scheme val="minor"/>
      </rPr>
      <t/>
    </r>
  </si>
  <si>
    <r>
      <t xml:space="preserve">Vehicle speed to engine speed </t>
    </r>
    <r>
      <rPr>
        <sz val="11"/>
        <color theme="1"/>
        <rFont val="Symbol"/>
        <family val="1"/>
        <charset val="2"/>
      </rPr>
      <t>k</t>
    </r>
    <r>
      <rPr>
        <sz val="11"/>
        <color theme="1"/>
        <rFont val="Calibri"/>
        <family val="2"/>
        <scheme val="minor"/>
      </rPr>
      <t xml:space="preserve"> of Gear 8</t>
    </r>
    <r>
      <rPr>
        <sz val="11"/>
        <color theme="1"/>
        <rFont val="Calibri"/>
        <family val="2"/>
        <scheme val="minor"/>
      </rPr>
      <t/>
    </r>
  </si>
  <si>
    <r>
      <t xml:space="preserve">Vehicle speed to engine speed </t>
    </r>
    <r>
      <rPr>
        <sz val="11"/>
        <color theme="1"/>
        <rFont val="Symbol"/>
        <family val="1"/>
        <charset val="2"/>
      </rPr>
      <t>k</t>
    </r>
    <r>
      <rPr>
        <sz val="11"/>
        <color theme="1"/>
        <rFont val="Calibri"/>
        <family val="2"/>
        <scheme val="minor"/>
      </rPr>
      <t xml:space="preserve"> of Gear 9</t>
    </r>
    <r>
      <rPr>
        <sz val="11"/>
        <color theme="1"/>
        <rFont val="Calibri"/>
        <family val="2"/>
        <scheme val="minor"/>
      </rPr>
      <t/>
    </r>
  </si>
  <si>
    <r>
      <t xml:space="preserve">Vehicle speed to engine speed </t>
    </r>
    <r>
      <rPr>
        <sz val="11"/>
        <color theme="1"/>
        <rFont val="Symbol"/>
        <family val="1"/>
        <charset val="2"/>
      </rPr>
      <t>k</t>
    </r>
    <r>
      <rPr>
        <sz val="11"/>
        <color theme="1"/>
        <rFont val="Calibri"/>
        <family val="2"/>
        <scheme val="minor"/>
      </rPr>
      <t xml:space="preserve"> of Gear 10</t>
    </r>
    <r>
      <rPr>
        <sz val="11"/>
        <color theme="1"/>
        <rFont val="Calibri"/>
        <family val="2"/>
        <scheme val="minor"/>
      </rPr>
      <t/>
    </r>
  </si>
  <si>
    <t>NONE</t>
  </si>
  <si>
    <r>
      <rPr>
        <b/>
        <sz val="14"/>
        <color rgb="FFFF0000"/>
        <rFont val="Calibri"/>
        <family val="2"/>
        <scheme val="minor"/>
      </rPr>
      <t>OFFICIAL VERSION 2</t>
    </r>
    <r>
      <rPr>
        <b/>
        <sz val="11"/>
        <color rgb="FFFF0000"/>
        <rFont val="Calibri"/>
        <family val="2"/>
        <scheme val="minor"/>
      </rPr>
      <t xml:space="preserve">
Release date: 16.11.2023</t>
    </r>
  </si>
  <si>
    <t>THIS IS THE OFFICIAL DATA DELIVERY SHEET. 
IT DIFFERS FROM THE VERSION 1 WITH REGARD TO EV VEHICLE CALCULATION AND PROVIDES A PROPER DYNAMIC CHECK.
THIS DOCUMENT CAN BE DOWNLOADED FROM THE UN-ECE WEBITE USING THE LINK TO THE RIGHT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</si>
</sst>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00"/>
  </numFmts>
  <fonts count="77">
    <font>
      <sz val="11"/>
      <color theme="1"/>
      <name val="Calibri"/>
      <family val="2"/>
      <scheme val="minor"/>
    </font>
    <font>
      <sz val="11"/>
      <color theme="1"/>
      <name val="Calibri"/>
      <family val="2"/>
      <scheme val="minor"/>
    </font>
    <font>
      <b/>
      <sz val="11"/>
      <color theme="1"/>
      <name val="Calibri"/>
      <family val="2"/>
      <scheme val="minor"/>
    </font>
    <font>
      <b/>
      <vertAlign val="subscript"/>
      <sz val="11"/>
      <color theme="1"/>
      <name val="Calibri"/>
      <family val="2"/>
      <scheme val="minor"/>
    </font>
    <font>
      <vertAlign val="subscript"/>
      <sz val="11"/>
      <color theme="1"/>
      <name val="Calibri"/>
      <family val="2"/>
      <scheme val="minor"/>
    </font>
    <font>
      <b/>
      <sz val="12"/>
      <color theme="1"/>
      <name val="Calibri"/>
      <family val="2"/>
      <scheme val="minor"/>
    </font>
    <font>
      <b/>
      <sz val="12"/>
      <color rgb="FFFF7C80"/>
      <name val="Calibri"/>
      <family val="2"/>
      <scheme val="minor"/>
    </font>
    <font>
      <b/>
      <sz val="12"/>
      <color rgb="FFFF0000"/>
      <name val="Calibri"/>
      <family val="2"/>
      <scheme val="minor"/>
    </font>
    <font>
      <b/>
      <sz val="12"/>
      <color theme="9" tint="-0.249977111117893"/>
      <name val="Calibri"/>
      <family val="2"/>
      <scheme val="minor"/>
    </font>
    <font>
      <sz val="9"/>
      <color theme="1"/>
      <name val="Calibri"/>
      <family val="2"/>
      <scheme val="minor"/>
    </font>
    <font>
      <b/>
      <sz val="9"/>
      <color theme="1"/>
      <name val="Calibri"/>
      <family val="2"/>
      <scheme val="minor"/>
    </font>
    <font>
      <sz val="11"/>
      <color theme="1"/>
      <name val="Symbol"/>
      <family val="1"/>
      <charset val="2"/>
    </font>
    <font>
      <sz val="11"/>
      <color rgb="FFFF0000"/>
      <name val="Calibri"/>
      <family val="2"/>
      <scheme val="minor"/>
    </font>
    <font>
      <sz val="11"/>
      <name val="Calibri"/>
      <family val="2"/>
      <scheme val="minor"/>
    </font>
    <font>
      <sz val="10"/>
      <color theme="1"/>
      <name val="Calibri"/>
      <family val="2"/>
      <scheme val="minor"/>
    </font>
    <font>
      <vertAlign val="subscript"/>
      <sz val="11"/>
      <color theme="1"/>
      <name val="Calibri"/>
      <family val="2"/>
    </font>
    <font>
      <b/>
      <sz val="11"/>
      <color rgb="FF000000"/>
      <name val="Calibri"/>
      <family val="2"/>
      <scheme val="minor"/>
    </font>
    <font>
      <sz val="11"/>
      <color theme="1"/>
      <name val="Times New Roman"/>
      <family val="1"/>
    </font>
    <font>
      <b/>
      <sz val="11"/>
      <color rgb="FF000000"/>
      <name val="Calibri"/>
      <family val="2"/>
    </font>
    <font>
      <b/>
      <vertAlign val="subscript"/>
      <sz val="11"/>
      <color rgb="FF000000"/>
      <name val="Calibri"/>
      <family val="2"/>
    </font>
    <font>
      <b/>
      <sz val="10"/>
      <color rgb="FF000000"/>
      <name val="Calibri"/>
      <family val="2"/>
    </font>
    <font>
      <b/>
      <sz val="11"/>
      <name val="Times New Roman"/>
      <family val="1"/>
    </font>
    <font>
      <b/>
      <sz val="11"/>
      <name val="Symbol"/>
      <family val="1"/>
      <charset val="2"/>
    </font>
    <font>
      <b/>
      <sz val="11"/>
      <name val="Calibri"/>
      <family val="2"/>
    </font>
    <font>
      <sz val="11"/>
      <color theme="1"/>
      <name val="Calibri"/>
      <family val="2"/>
      <scheme val="minor"/>
    </font>
    <font>
      <sz val="8"/>
      <name val="Calibri"/>
      <family val="2"/>
      <scheme val="minor"/>
    </font>
    <font>
      <sz val="11"/>
      <color rgb="FF000000"/>
      <name val="Calibri"/>
      <family val="2"/>
      <scheme val="minor"/>
    </font>
    <font>
      <vertAlign val="subscript"/>
      <sz val="11"/>
      <color rgb="FF000000"/>
      <name val="Calibri"/>
      <family val="2"/>
      <scheme val="minor"/>
    </font>
    <font>
      <i/>
      <sz val="11"/>
      <color rgb="FF000000"/>
      <name val="Calibri"/>
      <family val="2"/>
      <scheme val="minor"/>
    </font>
    <font>
      <i/>
      <vertAlign val="subscript"/>
      <sz val="11"/>
      <color rgb="FF000000"/>
      <name val="Calibri"/>
      <family val="2"/>
      <scheme val="minor"/>
    </font>
    <font>
      <u/>
      <sz val="11"/>
      <color rgb="FF000000"/>
      <name val="Calibri"/>
      <family val="2"/>
      <scheme val="minor"/>
    </font>
    <font>
      <b/>
      <sz val="16"/>
      <color rgb="FF000000"/>
      <name val="Calibri"/>
      <family val="2"/>
      <scheme val="minor"/>
    </font>
    <font>
      <b/>
      <sz val="20"/>
      <color rgb="FF000000"/>
      <name val="Calibri"/>
      <family val="2"/>
      <scheme val="minor"/>
    </font>
    <font>
      <b/>
      <sz val="11"/>
      <color theme="4" tint="-0.249977111117893"/>
      <name val="Calibri"/>
      <family val="2"/>
    </font>
    <font>
      <b/>
      <vertAlign val="subscript"/>
      <sz val="11"/>
      <color theme="4" tint="-0.249977111117893"/>
      <name val="Calibri"/>
      <family val="2"/>
    </font>
    <font>
      <b/>
      <sz val="9"/>
      <color theme="4" tint="-0.249977111117893"/>
      <name val="Calibri"/>
      <family val="2"/>
    </font>
    <font>
      <b/>
      <sz val="11"/>
      <color rgb="FF000000"/>
      <name val="Symbol"/>
      <family val="1"/>
      <charset val="2"/>
    </font>
    <font>
      <b/>
      <sz val="11"/>
      <color rgb="FF000000"/>
      <name val="Calibri"/>
      <family val="1"/>
      <charset val="2"/>
    </font>
    <font>
      <b/>
      <sz val="12"/>
      <name val="Calibri"/>
      <family val="2"/>
      <scheme val="minor"/>
    </font>
    <font>
      <b/>
      <sz val="18"/>
      <color rgb="FF000000"/>
      <name val="Calibri"/>
      <family val="2"/>
    </font>
    <font>
      <b/>
      <sz val="22"/>
      <color rgb="FF000000"/>
      <name val="Calibri"/>
      <family val="2"/>
    </font>
    <font>
      <b/>
      <sz val="18"/>
      <color theme="1"/>
      <name val="Calibri"/>
      <family val="2"/>
      <scheme val="minor"/>
    </font>
    <font>
      <sz val="11"/>
      <color theme="1"/>
      <name val="Calibri"/>
      <family val="1"/>
      <charset val="2"/>
      <scheme val="minor"/>
    </font>
    <font>
      <sz val="14"/>
      <color rgb="FFFF0000"/>
      <name val="Calibri"/>
      <family val="2"/>
    </font>
    <font>
      <sz val="12"/>
      <color rgb="FFFF0000"/>
      <name val="Calibri"/>
      <family val="2"/>
    </font>
    <font>
      <sz val="8"/>
      <color rgb="FFFF0000"/>
      <name val="Calibri"/>
      <family val="2"/>
    </font>
    <font>
      <b/>
      <sz val="18"/>
      <name val="Calibri"/>
      <family val="2"/>
      <scheme val="minor"/>
    </font>
    <font>
      <b/>
      <sz val="18"/>
      <color rgb="FFFF0000"/>
      <name val="Calibri"/>
      <family val="2"/>
      <scheme val="minor"/>
    </font>
    <font>
      <sz val="18"/>
      <color theme="1"/>
      <name val="Calibri"/>
      <family val="2"/>
      <scheme val="minor"/>
    </font>
    <font>
      <sz val="18"/>
      <color rgb="FFFF0000"/>
      <name val="Calibri"/>
      <family val="2"/>
      <scheme val="minor"/>
    </font>
    <font>
      <b/>
      <sz val="11"/>
      <name val="Calibri"/>
      <family val="2"/>
      <scheme val="minor"/>
    </font>
    <font>
      <b/>
      <sz val="16"/>
      <color rgb="FFFF0000"/>
      <name val="Calibri"/>
      <family val="2"/>
      <scheme val="minor"/>
    </font>
    <font>
      <b/>
      <sz val="14"/>
      <color rgb="FF000000"/>
      <name val="Calibri"/>
      <family val="2"/>
      <scheme val="minor"/>
    </font>
    <font>
      <b/>
      <sz val="14"/>
      <color theme="1"/>
      <name val="Calibri"/>
      <family val="2"/>
      <scheme val="minor"/>
    </font>
    <font>
      <b/>
      <sz val="11"/>
      <color rgb="FFFF0000"/>
      <name val="Calibri"/>
      <family val="2"/>
      <scheme val="minor"/>
    </font>
    <font>
      <sz val="14"/>
      <color theme="1"/>
      <name val="Calibri"/>
      <family val="2"/>
      <scheme val="minor"/>
    </font>
    <font>
      <b/>
      <u/>
      <sz val="11"/>
      <color rgb="FFFF0000"/>
      <name val="Calibri"/>
      <family val="2"/>
      <scheme val="minor"/>
    </font>
    <font>
      <b/>
      <sz val="11"/>
      <color rgb="FFFF0000"/>
      <name val="Calibri"/>
      <family val="2"/>
    </font>
    <font>
      <sz val="11"/>
      <color theme="4" tint="-0.249977111117893"/>
      <name val="Calibri"/>
      <family val="2"/>
    </font>
    <font>
      <sz val="11"/>
      <color rgb="FF000000"/>
      <name val="Calibri"/>
      <family val="2"/>
    </font>
    <font>
      <sz val="14"/>
      <color rgb="FF000000"/>
      <name val="Calibri"/>
      <family val="2"/>
      <scheme val="minor"/>
    </font>
    <font>
      <vertAlign val="subscript"/>
      <sz val="14"/>
      <color rgb="FF000000"/>
      <name val="Calibri"/>
      <family val="2"/>
      <scheme val="minor"/>
    </font>
    <font>
      <sz val="14"/>
      <color rgb="FF000000"/>
      <name val="Calibri"/>
      <family val="1"/>
      <charset val="2"/>
      <scheme val="minor"/>
    </font>
    <font>
      <sz val="14"/>
      <color rgb="FF000000"/>
      <name val="Symbol"/>
      <family val="1"/>
      <charset val="2"/>
    </font>
    <font>
      <u/>
      <sz val="11"/>
      <color theme="1"/>
      <name val="Calibri"/>
      <family val="2"/>
      <scheme val="minor"/>
    </font>
    <font>
      <sz val="11"/>
      <color theme="1"/>
      <name val="Calibri"/>
      <family val="2"/>
    </font>
    <font>
      <vertAlign val="subscript"/>
      <sz val="11"/>
      <name val="Calibri"/>
      <family val="2"/>
      <scheme val="minor"/>
    </font>
    <font>
      <sz val="8"/>
      <color rgb="FF000000"/>
      <name val="Calibri"/>
      <family val="2"/>
    </font>
    <font>
      <u/>
      <sz val="11"/>
      <color theme="10"/>
      <name val="Calibri"/>
      <family val="2"/>
      <scheme val="minor"/>
    </font>
    <font>
      <u/>
      <sz val="14"/>
      <color theme="10"/>
      <name val="Calibri"/>
      <family val="2"/>
      <scheme val="minor"/>
    </font>
    <font>
      <b/>
      <sz val="14"/>
      <color rgb="FFFF0000"/>
      <name val="Calibri"/>
      <family val="2"/>
      <scheme val="minor"/>
    </font>
    <font>
      <sz val="9"/>
      <color rgb="FFFF0000"/>
      <name val="Calibri"/>
      <family val="2"/>
      <scheme val="minor"/>
    </font>
    <font>
      <b/>
      <vertAlign val="subscript"/>
      <sz val="11"/>
      <color rgb="FFFF0000"/>
      <name val="Calibri"/>
      <family val="2"/>
      <scheme val="minor"/>
    </font>
    <font>
      <u/>
      <sz val="11"/>
      <color rgb="FFFF0000"/>
      <name val="Calibri"/>
      <family val="2"/>
      <scheme val="minor"/>
    </font>
    <font>
      <sz val="9"/>
      <color indexed="81"/>
      <name val="Segoe UI"/>
      <family val="2"/>
    </font>
    <font>
      <b/>
      <sz val="9"/>
      <color indexed="81"/>
      <name val="Segoe UI"/>
      <family val="2"/>
    </font>
    <font>
      <sz val="16"/>
      <color rgb="FFFF000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2"/>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8F8F"/>
        <bgColor indexed="64"/>
      </patternFill>
    </fill>
    <fill>
      <patternFill patternType="solid">
        <fgColor theme="5"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diagonalUp="1" diagonalDown="1">
      <left style="thin">
        <color indexed="64"/>
      </left>
      <right style="thin">
        <color indexed="64"/>
      </right>
      <top style="thin">
        <color indexed="64"/>
      </top>
      <bottom style="thin">
        <color indexed="64"/>
      </bottom>
      <diagonal style="thin">
        <color auto="1"/>
      </diagonal>
    </border>
  </borders>
  <cellStyleXfs count="4">
    <xf numFmtId="0" fontId="0" fillId="0" borderId="0"/>
    <xf numFmtId="43" fontId="24" fillId="0" borderId="0" applyFont="0" applyFill="0" applyBorder="0" applyAlignment="0" applyProtection="0"/>
    <xf numFmtId="9" fontId="24" fillId="0" borderId="0" applyFont="0" applyFill="0" applyBorder="0" applyAlignment="0" applyProtection="0"/>
    <xf numFmtId="0" fontId="68" fillId="0" borderId="0" applyNumberFormat="0" applyFill="0" applyBorder="0" applyAlignment="0" applyProtection="0"/>
  </cellStyleXfs>
  <cellXfs count="327">
    <xf numFmtId="0" fontId="0" fillId="0" borderId="0" xfId="0"/>
    <xf numFmtId="0" fontId="0" fillId="0" borderId="0" xfId="0" applyFont="1"/>
    <xf numFmtId="0" fontId="9" fillId="0" borderId="9" xfId="0" applyFont="1" applyBorder="1" applyAlignment="1" applyProtection="1">
      <alignment vertical="center"/>
    </xf>
    <xf numFmtId="0" fontId="9" fillId="0" borderId="14" xfId="0" applyFont="1" applyBorder="1" applyAlignment="1" applyProtection="1">
      <alignment vertical="center"/>
    </xf>
    <xf numFmtId="0" fontId="9" fillId="0" borderId="12" xfId="0" applyFont="1" applyBorder="1" applyAlignment="1" applyProtection="1">
      <alignment vertical="center"/>
    </xf>
    <xf numFmtId="1" fontId="0" fillId="3" borderId="8" xfId="0" applyNumberFormat="1" applyFill="1" applyBorder="1" applyAlignment="1" applyProtection="1">
      <alignment horizontal="center" vertical="center"/>
    </xf>
    <xf numFmtId="164" fontId="5" fillId="3" borderId="0" xfId="0" applyNumberFormat="1" applyFont="1" applyFill="1" applyBorder="1" applyAlignment="1" applyProtection="1">
      <alignment horizontal="center" vertical="center"/>
    </xf>
    <xf numFmtId="0" fontId="10" fillId="0" borderId="14" xfId="0" applyFont="1" applyBorder="1" applyAlignment="1" applyProtection="1">
      <alignment vertical="center"/>
    </xf>
    <xf numFmtId="164" fontId="14" fillId="0" borderId="9" xfId="0" applyNumberFormat="1" applyFont="1" applyFill="1" applyBorder="1" applyAlignment="1" applyProtection="1">
      <alignment horizontal="center" vertical="center" wrapText="1"/>
    </xf>
    <xf numFmtId="0" fontId="9" fillId="0" borderId="9" xfId="0" applyFont="1" applyBorder="1" applyAlignment="1" applyProtection="1">
      <alignment horizontal="left" vertical="center"/>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164" fontId="5" fillId="3" borderId="8" xfId="0" applyNumberFormat="1" applyFont="1" applyFill="1" applyBorder="1" applyAlignment="1" applyProtection="1">
      <alignment horizontal="center" vertical="center"/>
    </xf>
    <xf numFmtId="0" fontId="10" fillId="0" borderId="9" xfId="0" applyFont="1" applyBorder="1" applyAlignment="1" applyProtection="1">
      <alignment vertical="center"/>
    </xf>
    <xf numFmtId="0" fontId="9" fillId="0" borderId="12" xfId="0" applyFont="1" applyBorder="1" applyAlignment="1" applyProtection="1">
      <alignment horizontal="left" vertical="center"/>
    </xf>
    <xf numFmtId="1" fontId="5" fillId="3" borderId="0" xfId="0" applyNumberFormat="1" applyFont="1" applyFill="1" applyBorder="1" applyAlignment="1" applyProtection="1">
      <alignment horizontal="center" vertical="center"/>
    </xf>
    <xf numFmtId="0" fontId="52" fillId="3" borderId="1"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0" fillId="0" borderId="0" xfId="0" applyAlignment="1" applyProtection="1">
      <alignment vertical="center"/>
    </xf>
    <xf numFmtId="0" fontId="0" fillId="5" borderId="0" xfId="0" applyFill="1" applyBorder="1" applyAlignment="1" applyProtection="1">
      <alignment horizontal="center" vertical="center"/>
    </xf>
    <xf numFmtId="0" fontId="0" fillId="5" borderId="0" xfId="0" applyFill="1" applyBorder="1" applyAlignment="1" applyProtection="1">
      <alignment vertical="center"/>
    </xf>
    <xf numFmtId="0" fontId="0" fillId="3" borderId="8" xfId="0" applyFill="1" applyBorder="1" applyAlignment="1" applyProtection="1">
      <alignment horizontal="center" vertical="center"/>
    </xf>
    <xf numFmtId="1" fontId="0" fillId="3" borderId="0" xfId="0" applyNumberFormat="1" applyFill="1" applyBorder="1" applyAlignment="1" applyProtection="1">
      <alignment horizontal="center" vertical="center"/>
    </xf>
    <xf numFmtId="1" fontId="0" fillId="3" borderId="11" xfId="0" applyNumberFormat="1" applyFill="1" applyBorder="1" applyAlignment="1" applyProtection="1">
      <alignment horizontal="center" vertical="center"/>
    </xf>
    <xf numFmtId="0" fontId="0" fillId="3" borderId="11" xfId="0" applyFill="1" applyBorder="1" applyAlignment="1" applyProtection="1">
      <alignment horizontal="center" vertical="center"/>
    </xf>
    <xf numFmtId="164" fontId="0" fillId="3" borderId="11" xfId="0" applyNumberFormat="1" applyFill="1" applyBorder="1" applyAlignment="1" applyProtection="1">
      <alignment horizontal="center" vertical="center"/>
    </xf>
    <xf numFmtId="0" fontId="17" fillId="4" borderId="1" xfId="0" applyFont="1" applyFill="1" applyBorder="1" applyAlignment="1" applyProtection="1">
      <alignment vertical="center"/>
    </xf>
    <xf numFmtId="0" fontId="18" fillId="4" borderId="1" xfId="0" applyFont="1" applyFill="1" applyBorder="1" applyAlignment="1" applyProtection="1">
      <alignment horizontal="center" vertical="center" wrapText="1"/>
    </xf>
    <xf numFmtId="0" fontId="33" fillId="8" borderId="1" xfId="0" applyFont="1" applyFill="1" applyBorder="1" applyAlignment="1" applyProtection="1">
      <alignment horizontal="center" vertical="center" wrapText="1"/>
    </xf>
    <xf numFmtId="0" fontId="21" fillId="4" borderId="1" xfId="0" applyFont="1" applyFill="1" applyBorder="1" applyAlignment="1" applyProtection="1">
      <alignment horizontal="center" vertical="center" wrapText="1"/>
    </xf>
    <xf numFmtId="0" fontId="23" fillId="5" borderId="6" xfId="0" applyFont="1" applyFill="1" applyBorder="1" applyAlignment="1" applyProtection="1">
      <alignment vertical="center"/>
    </xf>
    <xf numFmtId="0" fontId="23" fillId="5" borderId="2" xfId="0" applyFont="1" applyFill="1" applyBorder="1" applyAlignment="1" applyProtection="1">
      <alignment vertical="center"/>
    </xf>
    <xf numFmtId="0" fontId="23" fillId="5" borderId="11" xfId="0" applyFont="1" applyFill="1" applyBorder="1" applyAlignment="1" applyProtection="1">
      <alignment horizontal="center" vertical="center"/>
    </xf>
    <xf numFmtId="0" fontId="23" fillId="5" borderId="0" xfId="0" applyFont="1" applyFill="1" applyBorder="1" applyAlignment="1" applyProtection="1">
      <alignment vertical="center"/>
    </xf>
    <xf numFmtId="0" fontId="18" fillId="5" borderId="1" xfId="0" applyFont="1" applyFill="1" applyBorder="1" applyAlignment="1" applyProtection="1">
      <alignment horizontal="center" vertical="center"/>
    </xf>
    <xf numFmtId="0" fontId="18" fillId="3" borderId="1" xfId="0" applyFont="1" applyFill="1" applyBorder="1" applyAlignment="1" applyProtection="1">
      <alignment horizontal="center" vertical="center"/>
    </xf>
    <xf numFmtId="2" fontId="18" fillId="3" borderId="1" xfId="0" applyNumberFormat="1" applyFont="1" applyFill="1" applyBorder="1" applyAlignment="1" applyProtection="1">
      <alignment horizontal="center" vertical="center"/>
    </xf>
    <xf numFmtId="164" fontId="18" fillId="3" borderId="1" xfId="0" applyNumberFormat="1" applyFont="1" applyFill="1" applyBorder="1" applyAlignment="1" applyProtection="1">
      <alignment horizontal="center" vertical="center"/>
    </xf>
    <xf numFmtId="164" fontId="18" fillId="0" borderId="1" xfId="0" applyNumberFormat="1" applyFont="1" applyFill="1" applyBorder="1" applyAlignment="1" applyProtection="1">
      <alignment horizontal="center" vertical="center"/>
    </xf>
    <xf numFmtId="2" fontId="0" fillId="0" borderId="0" xfId="0" applyNumberFormat="1" applyAlignment="1" applyProtection="1">
      <alignment vertical="center"/>
    </xf>
    <xf numFmtId="0" fontId="23" fillId="5" borderId="2" xfId="0" applyFont="1" applyFill="1" applyBorder="1" applyAlignment="1" applyProtection="1">
      <alignment horizontal="center" vertical="center"/>
    </xf>
    <xf numFmtId="0" fontId="0" fillId="0" borderId="0" xfId="0" applyAlignment="1" applyProtection="1">
      <alignment horizontal="center" vertical="center"/>
    </xf>
    <xf numFmtId="0" fontId="33" fillId="7" borderId="1" xfId="0" applyFont="1" applyFill="1" applyBorder="1" applyAlignment="1" applyProtection="1">
      <alignment horizontal="center" vertical="center"/>
      <protection locked="0"/>
    </xf>
    <xf numFmtId="9" fontId="33" fillId="7" borderId="1" xfId="0" applyNumberFormat="1" applyFont="1" applyFill="1" applyBorder="1" applyAlignment="1" applyProtection="1">
      <alignment horizontal="center" vertical="center"/>
      <protection locked="0"/>
    </xf>
    <xf numFmtId="0" fontId="18" fillId="7" borderId="1" xfId="0" applyFont="1" applyFill="1" applyBorder="1" applyAlignment="1" applyProtection="1">
      <alignment vertical="center"/>
      <protection locked="0"/>
    </xf>
    <xf numFmtId="164" fontId="18" fillId="7" borderId="1" xfId="0" applyNumberFormat="1" applyFont="1" applyFill="1" applyBorder="1" applyAlignment="1" applyProtection="1">
      <alignment horizontal="center" vertical="center"/>
      <protection locked="0"/>
    </xf>
    <xf numFmtId="0" fontId="18" fillId="7" borderId="1" xfId="0" applyFont="1" applyFill="1" applyBorder="1" applyAlignment="1" applyProtection="1">
      <alignment horizontal="center" vertical="center"/>
      <protection locked="0"/>
    </xf>
    <xf numFmtId="164" fontId="18" fillId="7" borderId="1" xfId="0" applyNumberFormat="1" applyFont="1" applyFill="1" applyBorder="1" applyAlignment="1" applyProtection="1">
      <alignment vertical="center"/>
      <protection locked="0"/>
    </xf>
    <xf numFmtId="0" fontId="0" fillId="5" borderId="0" xfId="0" applyFill="1"/>
    <xf numFmtId="0" fontId="0" fillId="0" borderId="0" xfId="0" applyFill="1" applyAlignment="1" applyProtection="1">
      <alignment vertical="center"/>
    </xf>
    <xf numFmtId="0" fontId="0" fillId="5" borderId="0" xfId="0" applyFill="1" applyAlignment="1" applyProtection="1">
      <alignment horizontal="center"/>
    </xf>
    <xf numFmtId="0" fontId="0" fillId="0" borderId="0" xfId="0" applyAlignment="1" applyProtection="1">
      <alignment horizontal="center"/>
    </xf>
    <xf numFmtId="0" fontId="0" fillId="5" borderId="0" xfId="0" applyFill="1" applyAlignment="1" applyProtection="1">
      <alignment horizontal="center" vertical="center"/>
    </xf>
    <xf numFmtId="0" fontId="0" fillId="5" borderId="0" xfId="0" applyFill="1" applyAlignment="1" applyProtection="1">
      <alignment vertical="center"/>
    </xf>
    <xf numFmtId="0" fontId="0" fillId="5" borderId="1" xfId="0" applyFill="1" applyBorder="1" applyAlignment="1" applyProtection="1">
      <alignment vertical="center"/>
    </xf>
    <xf numFmtId="0" fontId="0" fillId="5" borderId="1" xfId="0" applyFill="1" applyBorder="1" applyAlignment="1" applyProtection="1">
      <alignment horizontal="center" vertical="center"/>
    </xf>
    <xf numFmtId="0" fontId="12" fillId="5" borderId="1" xfId="0" applyFont="1" applyFill="1" applyBorder="1" applyAlignment="1" applyProtection="1">
      <alignment vertical="center"/>
    </xf>
    <xf numFmtId="0" fontId="0" fillId="5" borderId="1" xfId="0" applyFill="1" applyBorder="1" applyAlignment="1" applyProtection="1">
      <alignment horizontal="left" vertical="center"/>
    </xf>
    <xf numFmtId="0" fontId="0" fillId="0" borderId="0" xfId="0" applyProtection="1"/>
    <xf numFmtId="0" fontId="0" fillId="7" borderId="1" xfId="0" applyFill="1" applyBorder="1" applyAlignment="1" applyProtection="1">
      <alignment horizontal="center" vertical="center"/>
      <protection locked="0"/>
    </xf>
    <xf numFmtId="0" fontId="0" fillId="6" borderId="1" xfId="0" applyFill="1" applyBorder="1" applyAlignment="1" applyProtection="1">
      <alignment horizontal="center" vertical="center"/>
      <protection locked="0"/>
    </xf>
    <xf numFmtId="0" fontId="0" fillId="0" borderId="1" xfId="0" applyBorder="1" applyAlignment="1" applyProtection="1">
      <alignment vertical="center"/>
    </xf>
    <xf numFmtId="0" fontId="0" fillId="0" borderId="1" xfId="0" applyBorder="1" applyAlignment="1" applyProtection="1">
      <alignment horizontal="center" vertical="center"/>
    </xf>
    <xf numFmtId="0" fontId="12" fillId="0" borderId="1" xfId="0" applyFont="1" applyBorder="1" applyAlignment="1" applyProtection="1">
      <alignment vertical="center"/>
    </xf>
    <xf numFmtId="0" fontId="0" fillId="3" borderId="1" xfId="0" applyFill="1" applyBorder="1" applyAlignment="1" applyProtection="1">
      <alignment horizontal="center" vertical="center"/>
    </xf>
    <xf numFmtId="0" fontId="0" fillId="5" borderId="0" xfId="0" applyFill="1" applyProtection="1"/>
    <xf numFmtId="0" fontId="13" fillId="3" borderId="1" xfId="0" applyFont="1" applyFill="1" applyBorder="1" applyAlignment="1" applyProtection="1">
      <alignment horizontal="center" vertical="center"/>
    </xf>
    <xf numFmtId="0" fontId="0" fillId="0" borderId="1" xfId="0" applyBorder="1" applyAlignment="1" applyProtection="1">
      <alignment horizontal="left" vertical="center"/>
    </xf>
    <xf numFmtId="0" fontId="0" fillId="2" borderId="1" xfId="0" applyFill="1" applyBorder="1" applyAlignment="1" applyProtection="1">
      <alignment horizontal="center" vertical="center"/>
    </xf>
    <xf numFmtId="164" fontId="0" fillId="3" borderId="1" xfId="0" applyNumberFormat="1" applyFill="1" applyBorder="1" applyAlignment="1" applyProtection="1">
      <alignment horizontal="center" vertical="center"/>
    </xf>
    <xf numFmtId="1" fontId="0" fillId="3" borderId="1" xfId="0" applyNumberFormat="1" applyFill="1" applyBorder="1" applyAlignment="1" applyProtection="1">
      <alignment horizontal="center" vertical="center"/>
    </xf>
    <xf numFmtId="0" fontId="0" fillId="6" borderId="1" xfId="0" applyFont="1" applyFill="1" applyBorder="1" applyAlignment="1" applyProtection="1">
      <alignment horizontal="center" vertical="center"/>
      <protection locked="0"/>
    </xf>
    <xf numFmtId="164" fontId="0" fillId="3" borderId="1" xfId="0" applyNumberFormat="1" applyFont="1" applyFill="1" applyBorder="1" applyAlignment="1" applyProtection="1">
      <alignment horizontal="center" vertical="center"/>
    </xf>
    <xf numFmtId="0" fontId="0" fillId="0" borderId="1" xfId="0" applyFont="1" applyBorder="1" applyAlignment="1" applyProtection="1">
      <alignment horizontal="left" vertical="center"/>
    </xf>
    <xf numFmtId="1" fontId="0" fillId="3" borderId="1" xfId="0" applyNumberFormat="1" applyFont="1" applyFill="1" applyBorder="1" applyAlignment="1" applyProtection="1">
      <alignment horizontal="center" vertical="center"/>
    </xf>
    <xf numFmtId="164" fontId="0" fillId="3" borderId="1" xfId="1" applyNumberFormat="1" applyFont="1" applyFill="1" applyBorder="1" applyAlignment="1" applyProtection="1">
      <alignment horizontal="center" vertical="center"/>
    </xf>
    <xf numFmtId="0" fontId="0" fillId="0" borderId="1" xfId="0" applyFont="1" applyBorder="1" applyAlignment="1" applyProtection="1">
      <alignment horizontal="center" vertical="center"/>
    </xf>
    <xf numFmtId="0" fontId="2" fillId="0" borderId="1" xfId="0" applyFont="1" applyBorder="1" applyAlignment="1" applyProtection="1">
      <alignment horizontal="center" vertical="center"/>
    </xf>
    <xf numFmtId="164" fontId="2" fillId="3" borderId="1" xfId="0" applyNumberFormat="1" applyFont="1" applyFill="1" applyBorder="1" applyAlignment="1" applyProtection="1">
      <alignment horizontal="center" vertical="center"/>
    </xf>
    <xf numFmtId="0" fontId="0" fillId="3" borderId="1" xfId="0" applyFont="1" applyFill="1" applyBorder="1" applyAlignment="1" applyProtection="1">
      <alignment horizontal="center" vertical="center"/>
    </xf>
    <xf numFmtId="9" fontId="2" fillId="3" borderId="1" xfId="2" applyFont="1" applyFill="1" applyBorder="1" applyAlignment="1" applyProtection="1">
      <alignment horizontal="center" vertical="center"/>
    </xf>
    <xf numFmtId="164" fontId="0" fillId="7" borderId="1" xfId="0" applyNumberFormat="1" applyFill="1" applyBorder="1" applyAlignment="1" applyProtection="1">
      <alignment horizontal="center" vertical="center"/>
      <protection locked="0"/>
    </xf>
    <xf numFmtId="0" fontId="0" fillId="0" borderId="9" xfId="0" applyFill="1" applyBorder="1" applyAlignment="1" applyProtection="1">
      <alignment vertical="center"/>
    </xf>
    <xf numFmtId="0" fontId="0" fillId="0" borderId="12" xfId="0" applyFill="1" applyBorder="1" applyAlignment="1" applyProtection="1">
      <alignment vertical="center"/>
    </xf>
    <xf numFmtId="0" fontId="0" fillId="0" borderId="9" xfId="0" applyFill="1" applyBorder="1" applyAlignment="1" applyProtection="1">
      <alignment horizontal="left" vertical="center"/>
    </xf>
    <xf numFmtId="0" fontId="0" fillId="0" borderId="12" xfId="0" applyFill="1" applyBorder="1" applyAlignment="1" applyProtection="1">
      <alignment horizontal="left" vertical="center"/>
    </xf>
    <xf numFmtId="0" fontId="0" fillId="5" borderId="0" xfId="0" applyFill="1" applyBorder="1" applyProtection="1"/>
    <xf numFmtId="0" fontId="37" fillId="4" borderId="1" xfId="0" applyFont="1" applyFill="1" applyBorder="1" applyAlignment="1" applyProtection="1">
      <alignment horizontal="center" vertical="center" wrapText="1"/>
    </xf>
    <xf numFmtId="1" fontId="18" fillId="3" borderId="1" xfId="0" applyNumberFormat="1"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0" fillId="2" borderId="1" xfId="0" applyFill="1" applyBorder="1" applyAlignment="1" applyProtection="1">
      <alignment horizontal="center" vertical="center"/>
    </xf>
    <xf numFmtId="0" fontId="0" fillId="0" borderId="1" xfId="0" applyBorder="1" applyAlignment="1" applyProtection="1">
      <alignment vertical="center" wrapText="1"/>
    </xf>
    <xf numFmtId="1" fontId="0" fillId="7" borderId="1" xfId="0" applyNumberFormat="1" applyFill="1" applyBorder="1" applyAlignment="1" applyProtection="1">
      <alignment horizontal="center" vertical="center"/>
      <protection locked="0"/>
    </xf>
    <xf numFmtId="0" fontId="0" fillId="5" borderId="1" xfId="0" quotePrefix="1" applyFill="1" applyBorder="1" applyAlignment="1" applyProtection="1">
      <alignment horizontal="center" vertical="center"/>
    </xf>
    <xf numFmtId="164" fontId="0" fillId="7" borderId="1" xfId="0" applyNumberFormat="1" applyFill="1" applyBorder="1" applyAlignment="1" applyProtection="1">
      <alignment horizontal="center" vertical="center"/>
      <protection locked="0"/>
    </xf>
    <xf numFmtId="2" fontId="0" fillId="7" borderId="1" xfId="0" applyNumberFormat="1" applyFill="1" applyBorder="1" applyAlignment="1" applyProtection="1">
      <alignment horizontal="center" vertical="center"/>
      <protection locked="0"/>
    </xf>
    <xf numFmtId="0" fontId="12" fillId="0" borderId="1" xfId="0" applyFont="1" applyBorder="1" applyAlignment="1" applyProtection="1">
      <alignment horizontal="center" vertical="center"/>
    </xf>
    <xf numFmtId="0" fontId="33" fillId="8" borderId="3" xfId="0" applyFont="1" applyFill="1" applyBorder="1" applyAlignment="1" applyProtection="1">
      <alignment horizontal="center" vertical="center" wrapText="1"/>
    </xf>
    <xf numFmtId="0" fontId="58" fillId="8" borderId="1" xfId="0" applyFont="1" applyFill="1" applyBorder="1" applyAlignment="1" applyProtection="1">
      <alignment horizontal="center" vertical="center" wrapText="1"/>
    </xf>
    <xf numFmtId="0" fontId="59" fillId="4" borderId="1" xfId="0" applyFont="1" applyFill="1" applyBorder="1" applyAlignment="1" applyProtection="1">
      <alignment horizontal="center" vertical="center" wrapText="1"/>
    </xf>
    <xf numFmtId="9" fontId="18" fillId="3" borderId="1" xfId="2" applyFont="1" applyFill="1" applyBorder="1" applyAlignment="1" applyProtection="1">
      <alignment horizontal="center" vertical="center"/>
    </xf>
    <xf numFmtId="0" fontId="0" fillId="5" borderId="0" xfId="0" applyFill="1" applyBorder="1" applyAlignment="1" applyProtection="1">
      <alignment horizontal="center"/>
    </xf>
    <xf numFmtId="0" fontId="23" fillId="5" borderId="6" xfId="0" applyFont="1" applyFill="1" applyBorder="1" applyAlignment="1" applyProtection="1">
      <alignment horizontal="left" vertical="center"/>
    </xf>
    <xf numFmtId="0" fontId="0" fillId="5" borderId="1" xfId="0" applyFill="1" applyBorder="1" applyAlignment="1" applyProtection="1">
      <alignment horizontal="center"/>
    </xf>
    <xf numFmtId="2" fontId="0" fillId="3" borderId="1" xfId="1" applyNumberFormat="1" applyFont="1" applyFill="1" applyBorder="1" applyAlignment="1" applyProtection="1">
      <alignment horizontal="center" vertical="center"/>
    </xf>
    <xf numFmtId="164" fontId="0" fillId="7" borderId="1" xfId="0" applyNumberFormat="1" applyFill="1" applyBorder="1" applyAlignment="1" applyProtection="1">
      <alignment horizontal="center" vertical="center"/>
      <protection locked="0"/>
    </xf>
    <xf numFmtId="0" fontId="0" fillId="2" borderId="1" xfId="0" applyFill="1" applyBorder="1" applyAlignment="1" applyProtection="1">
      <alignment horizontal="center" vertical="center"/>
    </xf>
    <xf numFmtId="49" fontId="0" fillId="6" borderId="1" xfId="0" quotePrefix="1" applyNumberFormat="1" applyFill="1" applyBorder="1" applyAlignment="1" applyProtection="1">
      <alignment horizontal="center" vertical="center"/>
      <protection locked="0"/>
    </xf>
    <xf numFmtId="0" fontId="2" fillId="2" borderId="2" xfId="0" applyFont="1" applyFill="1" applyBorder="1" applyAlignment="1" applyProtection="1">
      <alignment vertical="center" wrapText="1"/>
    </xf>
    <xf numFmtId="0" fontId="0" fillId="0" borderId="2" xfId="0" applyBorder="1" applyAlignment="1" applyProtection="1">
      <alignment vertical="center"/>
    </xf>
    <xf numFmtId="0" fontId="0" fillId="5" borderId="0" xfId="0" applyFill="1" applyAlignment="1" applyProtection="1">
      <alignment vertical="center" wrapText="1"/>
    </xf>
    <xf numFmtId="0" fontId="2" fillId="5" borderId="0" xfId="0" applyFont="1" applyFill="1" applyAlignment="1" applyProtection="1">
      <alignment horizontal="center"/>
    </xf>
    <xf numFmtId="0" fontId="53" fillId="2" borderId="0" xfId="0" applyFont="1" applyFill="1" applyAlignment="1" applyProtection="1">
      <alignment horizontal="center" vertical="center"/>
    </xf>
    <xf numFmtId="0" fontId="53" fillId="2" borderId="0" xfId="0" applyFont="1" applyFill="1" applyAlignment="1" applyProtection="1">
      <alignment vertical="center" wrapText="1"/>
    </xf>
    <xf numFmtId="0" fontId="53" fillId="5" borderId="0" xfId="0" applyFont="1" applyFill="1" applyAlignment="1" applyProtection="1">
      <alignment vertical="center" wrapText="1"/>
    </xf>
    <xf numFmtId="0" fontId="0" fillId="5" borderId="0" xfId="0" applyFill="1" applyBorder="1" applyAlignment="1" applyProtection="1">
      <alignment vertical="center" wrapText="1"/>
    </xf>
    <xf numFmtId="0" fontId="0" fillId="5" borderId="11" xfId="0" applyFill="1" applyBorder="1" applyAlignment="1" applyProtection="1">
      <alignment horizontal="center" vertical="center"/>
    </xf>
    <xf numFmtId="0" fontId="0" fillId="5" borderId="11" xfId="0" applyFill="1" applyBorder="1" applyAlignment="1" applyProtection="1">
      <alignment vertical="center" wrapText="1"/>
    </xf>
    <xf numFmtId="0" fontId="0" fillId="5" borderId="11" xfId="0" applyFill="1" applyBorder="1" applyAlignment="1" applyProtection="1">
      <alignment vertical="center"/>
    </xf>
    <xf numFmtId="0" fontId="2" fillId="5" borderId="0" xfId="0" applyFont="1" applyFill="1" applyAlignment="1" applyProtection="1">
      <alignment horizontal="center" wrapText="1"/>
    </xf>
    <xf numFmtId="0" fontId="0" fillId="5" borderId="0" xfId="0" applyFill="1" applyAlignment="1" applyProtection="1">
      <alignment horizontal="center" vertical="center" wrapText="1"/>
    </xf>
    <xf numFmtId="0" fontId="0" fillId="2" borderId="16" xfId="0" applyFill="1" applyBorder="1" applyAlignment="1" applyProtection="1">
      <alignment horizontal="center" vertical="center"/>
    </xf>
    <xf numFmtId="0" fontId="0" fillId="0" borderId="0" xfId="0" applyAlignment="1" applyProtection="1">
      <alignment wrapText="1"/>
    </xf>
    <xf numFmtId="0" fontId="0" fillId="7" borderId="1" xfId="0" applyFill="1" applyBorder="1" applyAlignment="1" applyProtection="1">
      <alignment vertical="center" wrapText="1"/>
      <protection locked="0"/>
    </xf>
    <xf numFmtId="0" fontId="14" fillId="7" borderId="1" xfId="0" applyFont="1" applyFill="1" applyBorder="1" applyAlignment="1" applyProtection="1">
      <alignment horizontal="left" vertical="top" wrapText="1"/>
      <protection locked="0"/>
    </xf>
    <xf numFmtId="0" fontId="0" fillId="2" borderId="3" xfId="0" applyFill="1" applyBorder="1" applyAlignment="1" applyProtection="1">
      <alignment horizontal="center" vertical="center"/>
    </xf>
    <xf numFmtId="1" fontId="13" fillId="3" borderId="1" xfId="0" applyNumberFormat="1" applyFont="1" applyFill="1" applyBorder="1" applyAlignment="1" applyProtection="1">
      <alignment horizontal="center" vertical="center"/>
    </xf>
    <xf numFmtId="164" fontId="13" fillId="3" borderId="1" xfId="0" applyNumberFormat="1" applyFont="1" applyFill="1" applyBorder="1" applyAlignment="1" applyProtection="1">
      <alignment horizontal="center" vertical="center"/>
    </xf>
    <xf numFmtId="0" fontId="13" fillId="0" borderId="1" xfId="0" applyFont="1" applyBorder="1" applyAlignment="1" applyProtection="1">
      <alignment vertical="center"/>
    </xf>
    <xf numFmtId="1" fontId="0" fillId="6" borderId="1" xfId="0" applyNumberFormat="1" applyFill="1" applyBorder="1" applyAlignment="1" applyProtection="1">
      <alignment horizontal="center" vertical="center"/>
      <protection locked="0"/>
    </xf>
    <xf numFmtId="2" fontId="0" fillId="3" borderId="1" xfId="0" applyNumberFormat="1" applyFill="1" applyBorder="1" applyAlignment="1" applyProtection="1">
      <alignment horizontal="center" vertical="center"/>
    </xf>
    <xf numFmtId="0" fontId="0" fillId="7" borderId="1" xfId="0" applyFill="1" applyBorder="1" applyAlignment="1" applyProtection="1">
      <alignment horizontal="left" vertical="center"/>
      <protection locked="0"/>
    </xf>
    <xf numFmtId="0" fontId="0" fillId="5" borderId="0" xfId="0" applyFill="1" applyAlignment="1">
      <alignment horizontal="center" vertical="center"/>
    </xf>
    <xf numFmtId="0" fontId="0" fillId="5" borderId="0" xfId="0" applyFill="1" applyAlignment="1">
      <alignment vertical="center" wrapText="1"/>
    </xf>
    <xf numFmtId="0" fontId="2" fillId="5" borderId="0" xfId="0" applyFont="1" applyFill="1" applyAlignment="1">
      <alignment horizontal="center"/>
    </xf>
    <xf numFmtId="0" fontId="0" fillId="0" borderId="0" xfId="0" applyAlignment="1">
      <alignment vertical="center"/>
    </xf>
    <xf numFmtId="0" fontId="53" fillId="2" borderId="0" xfId="0" applyFont="1" applyFill="1" applyAlignment="1">
      <alignment horizontal="center" vertical="center"/>
    </xf>
    <xf numFmtId="0" fontId="53" fillId="2" borderId="0" xfId="0" applyFont="1" applyFill="1" applyAlignment="1">
      <alignment vertical="center" wrapText="1"/>
    </xf>
    <xf numFmtId="0" fontId="0" fillId="5" borderId="11" xfId="0" applyFill="1" applyBorder="1" applyAlignment="1">
      <alignment horizontal="center" vertical="center"/>
    </xf>
    <xf numFmtId="0" fontId="0" fillId="5" borderId="11" xfId="0" applyFill="1" applyBorder="1" applyAlignment="1">
      <alignment vertical="center"/>
    </xf>
    <xf numFmtId="0" fontId="0" fillId="5" borderId="11" xfId="0" applyFill="1" applyBorder="1" applyAlignment="1">
      <alignment vertical="center" wrapText="1"/>
    </xf>
    <xf numFmtId="0" fontId="60" fillId="0" borderId="1" xfId="0" applyFont="1" applyBorder="1" applyAlignment="1">
      <alignment horizontal="center" vertical="center" wrapText="1"/>
    </xf>
    <xf numFmtId="0" fontId="62" fillId="0" borderId="1" xfId="0" applyFont="1" applyBorder="1" applyAlignment="1">
      <alignment horizontal="center" vertical="center" wrapText="1"/>
    </xf>
    <xf numFmtId="0" fontId="63" fillId="0" borderId="1" xfId="0" applyFont="1" applyBorder="1" applyAlignment="1">
      <alignment horizontal="center" vertical="center" wrapText="1"/>
    </xf>
    <xf numFmtId="0" fontId="31" fillId="2" borderId="1" xfId="0" applyFont="1" applyFill="1" applyBorder="1" applyAlignment="1">
      <alignment horizontal="center" vertical="center" wrapText="1"/>
    </xf>
    <xf numFmtId="0" fontId="0" fillId="5" borderId="1" xfId="0" applyFill="1" applyBorder="1" applyAlignment="1">
      <alignment vertical="center"/>
    </xf>
    <xf numFmtId="0" fontId="0" fillId="0" borderId="1" xfId="0" applyBorder="1" applyAlignment="1">
      <alignment vertical="center"/>
    </xf>
    <xf numFmtId="165" fontId="0" fillId="3" borderId="1" xfId="0" applyNumberFormat="1" applyFill="1" applyBorder="1" applyAlignment="1" applyProtection="1">
      <alignment horizontal="center" vertical="center"/>
    </xf>
    <xf numFmtId="0" fontId="0" fillId="0" borderId="1" xfId="0" applyBorder="1" applyAlignment="1">
      <alignment vertical="center" wrapText="1"/>
    </xf>
    <xf numFmtId="0" fontId="0" fillId="0" borderId="1" xfId="0" applyBorder="1" applyAlignment="1">
      <alignment horizontal="left" vertical="center"/>
    </xf>
    <xf numFmtId="0" fontId="0" fillId="0" borderId="8" xfId="0" applyBorder="1" applyAlignment="1" applyProtection="1">
      <alignment vertical="center"/>
    </xf>
    <xf numFmtId="0" fontId="0" fillId="0" borderId="0" xfId="0" applyBorder="1" applyAlignment="1" applyProtection="1">
      <alignment vertical="center"/>
    </xf>
    <xf numFmtId="0" fontId="0" fillId="0" borderId="11" xfId="0" applyBorder="1" applyAlignment="1" applyProtection="1">
      <alignment vertical="center"/>
    </xf>
    <xf numFmtId="164" fontId="0" fillId="7" borderId="1" xfId="0" applyNumberFormat="1" applyFill="1" applyBorder="1" applyAlignment="1" applyProtection="1">
      <alignment horizontal="center" vertical="center"/>
      <protection locked="0"/>
    </xf>
    <xf numFmtId="0" fontId="18" fillId="4" borderId="1" xfId="0" applyFont="1" applyFill="1" applyBorder="1" applyAlignment="1" applyProtection="1">
      <alignment horizontal="center" vertical="center" wrapText="1"/>
    </xf>
    <xf numFmtId="0" fontId="13" fillId="2" borderId="5" xfId="0" applyFont="1" applyFill="1" applyBorder="1" applyAlignment="1" applyProtection="1">
      <alignment vertical="center" wrapText="1"/>
    </xf>
    <xf numFmtId="0" fontId="0" fillId="3" borderId="5" xfId="0" applyFill="1" applyBorder="1" applyAlignment="1" applyProtection="1">
      <alignment horizontal="center" vertical="center"/>
    </xf>
    <xf numFmtId="0" fontId="13" fillId="0" borderId="5" xfId="0" applyFont="1" applyFill="1" applyBorder="1" applyAlignment="1" applyProtection="1">
      <alignment vertical="center" wrapText="1"/>
    </xf>
    <xf numFmtId="164" fontId="33" fillId="7" borderId="1" xfId="0" applyNumberFormat="1" applyFont="1" applyFill="1" applyBorder="1" applyAlignment="1" applyProtection="1">
      <alignment horizontal="center" vertical="center"/>
      <protection locked="0"/>
    </xf>
    <xf numFmtId="9" fontId="18" fillId="7" borderId="1" xfId="2" applyFont="1" applyFill="1" applyBorder="1" applyAlignment="1" applyProtection="1">
      <alignment horizontal="center" vertical="center"/>
      <protection locked="0"/>
    </xf>
    <xf numFmtId="0" fontId="13" fillId="0" borderId="3" xfId="0" applyFont="1" applyBorder="1" applyAlignment="1" applyProtection="1">
      <alignment vertical="center" wrapText="1"/>
    </xf>
    <xf numFmtId="0" fontId="0" fillId="5" borderId="1" xfId="0" applyFont="1" applyFill="1" applyBorder="1" applyAlignment="1" applyProtection="1">
      <alignment vertical="center"/>
    </xf>
    <xf numFmtId="164" fontId="0" fillId="9" borderId="1" xfId="0" applyNumberFormat="1" applyFill="1" applyBorder="1" applyAlignment="1" applyProtection="1">
      <alignment horizontal="center" vertical="center"/>
    </xf>
    <xf numFmtId="0" fontId="12" fillId="0" borderId="1" xfId="0" applyFont="1" applyBorder="1" applyAlignment="1" applyProtection="1">
      <alignment horizontal="left" vertical="center"/>
    </xf>
    <xf numFmtId="164" fontId="0" fillId="3" borderId="5" xfId="0" applyNumberFormat="1" applyFill="1" applyBorder="1" applyAlignment="1" applyProtection="1">
      <alignment horizontal="center" vertical="center"/>
    </xf>
    <xf numFmtId="0" fontId="53" fillId="2" borderId="2" xfId="0" applyFont="1" applyFill="1" applyBorder="1" applyAlignment="1" applyProtection="1">
      <alignment horizontal="left" vertical="top"/>
    </xf>
    <xf numFmtId="0" fontId="53" fillId="2" borderId="2" xfId="0" applyFont="1" applyFill="1" applyBorder="1" applyAlignment="1" applyProtection="1">
      <alignment horizontal="center" vertical="top"/>
    </xf>
    <xf numFmtId="0" fontId="0" fillId="0" borderId="0" xfId="0" applyAlignment="1" applyProtection="1">
      <alignment horizontal="left" vertical="top"/>
    </xf>
    <xf numFmtId="0" fontId="0" fillId="5" borderId="0" xfId="0" applyFill="1" applyAlignment="1" applyProtection="1">
      <alignment horizontal="left" vertical="top"/>
    </xf>
    <xf numFmtId="0" fontId="0" fillId="5" borderId="0" xfId="0" applyFill="1" applyAlignment="1" applyProtection="1">
      <alignment horizontal="center" vertical="top"/>
    </xf>
    <xf numFmtId="0" fontId="54" fillId="5" borderId="2" xfId="0" applyFont="1" applyFill="1" applyBorder="1" applyAlignment="1" applyProtection="1">
      <alignment horizontal="center" vertical="center" wrapText="1"/>
    </xf>
    <xf numFmtId="0" fontId="0" fillId="0" borderId="0" xfId="0" applyAlignment="1" applyProtection="1">
      <alignment vertical="top"/>
    </xf>
    <xf numFmtId="0" fontId="0" fillId="5" borderId="2" xfId="0" applyFont="1" applyFill="1" applyBorder="1" applyAlignment="1" applyProtection="1">
      <alignment vertical="top" wrapText="1"/>
    </xf>
    <xf numFmtId="0" fontId="0" fillId="5" borderId="8" xfId="0" quotePrefix="1" applyFill="1" applyBorder="1" applyAlignment="1" applyProtection="1">
      <alignment horizontal="left" vertical="top"/>
    </xf>
    <xf numFmtId="0" fontId="0" fillId="5" borderId="8" xfId="0" applyFill="1" applyBorder="1" applyAlignment="1" applyProtection="1">
      <alignment horizontal="left" vertical="top" wrapText="1"/>
    </xf>
    <xf numFmtId="0" fontId="0" fillId="5" borderId="8" xfId="0" applyFill="1" applyBorder="1" applyAlignment="1" applyProtection="1">
      <alignment horizontal="center" vertical="center"/>
    </xf>
    <xf numFmtId="0" fontId="0" fillId="5" borderId="2" xfId="0" applyFill="1" applyBorder="1" applyAlignment="1" applyProtection="1">
      <alignment horizontal="left" vertical="top"/>
    </xf>
    <xf numFmtId="0" fontId="0" fillId="5" borderId="2" xfId="0" applyFill="1" applyBorder="1" applyAlignment="1" applyProtection="1">
      <alignment horizontal="left" vertical="top" wrapText="1"/>
    </xf>
    <xf numFmtId="0" fontId="2" fillId="10" borderId="2" xfId="0" applyFont="1" applyFill="1" applyBorder="1" applyAlignment="1" applyProtection="1">
      <alignment horizontal="center" vertical="center"/>
    </xf>
    <xf numFmtId="0" fontId="50" fillId="10" borderId="2" xfId="0" applyFont="1" applyFill="1" applyBorder="1" applyAlignment="1" applyProtection="1">
      <alignment horizontal="center" vertical="center"/>
    </xf>
    <xf numFmtId="0" fontId="0" fillId="9" borderId="2" xfId="0" applyFill="1" applyBorder="1" applyAlignment="1" applyProtection="1">
      <alignment horizontal="center" vertical="center"/>
    </xf>
    <xf numFmtId="0" fontId="2" fillId="9" borderId="2"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0" fillId="3" borderId="2" xfId="0" applyFont="1" applyFill="1" applyBorder="1" applyAlignment="1" applyProtection="1">
      <alignment horizontal="center" vertical="center"/>
    </xf>
    <xf numFmtId="0" fontId="0" fillId="5" borderId="0" xfId="0" applyFill="1" applyAlignment="1" applyProtection="1">
      <alignment horizontal="left" vertical="top" wrapText="1"/>
    </xf>
    <xf numFmtId="0" fontId="53" fillId="2" borderId="2" xfId="0" applyFont="1" applyFill="1" applyBorder="1" applyAlignment="1" applyProtection="1">
      <alignment vertical="top"/>
    </xf>
    <xf numFmtId="0" fontId="55" fillId="0" borderId="0" xfId="0" applyFont="1" applyAlignment="1" applyProtection="1">
      <alignment vertical="top"/>
    </xf>
    <xf numFmtId="0" fontId="0" fillId="7" borderId="2" xfId="0" applyFill="1" applyBorder="1" applyAlignment="1" applyProtection="1">
      <alignment horizontal="left" vertical="top"/>
    </xf>
    <xf numFmtId="0" fontId="0" fillId="6" borderId="2" xfId="0" applyFill="1" applyBorder="1" applyAlignment="1" applyProtection="1">
      <alignment horizontal="left" vertical="top"/>
    </xf>
    <xf numFmtId="0" fontId="0" fillId="3" borderId="2" xfId="0" applyFill="1" applyBorder="1" applyAlignment="1" applyProtection="1">
      <alignment horizontal="left" vertical="top"/>
    </xf>
    <xf numFmtId="0" fontId="0" fillId="2" borderId="2" xfId="0" applyFill="1" applyBorder="1" applyAlignment="1" applyProtection="1">
      <alignment horizontal="left" vertical="top"/>
    </xf>
    <xf numFmtId="0" fontId="0" fillId="5" borderId="2" xfId="0" applyFill="1" applyBorder="1" applyAlignment="1" applyProtection="1">
      <alignment vertical="top" wrapText="1"/>
    </xf>
    <xf numFmtId="0" fontId="0" fillId="0" borderId="0" xfId="0" applyBorder="1" applyAlignment="1" applyProtection="1">
      <alignment horizontal="left" vertical="top"/>
    </xf>
    <xf numFmtId="0" fontId="0" fillId="0" borderId="0" xfId="0" applyBorder="1" applyAlignment="1" applyProtection="1">
      <alignment horizontal="center" vertical="top"/>
    </xf>
    <xf numFmtId="0" fontId="0" fillId="0" borderId="1" xfId="0" applyFill="1" applyBorder="1" applyAlignment="1" applyProtection="1">
      <alignment horizontal="center" vertical="center"/>
    </xf>
    <xf numFmtId="0" fontId="54" fillId="5" borderId="3" xfId="0" applyFont="1" applyFill="1" applyBorder="1" applyAlignment="1">
      <alignment vertical="center" wrapText="1"/>
    </xf>
    <xf numFmtId="164" fontId="0" fillId="7" borderId="1" xfId="0" applyNumberFormat="1" applyFill="1" applyBorder="1" applyAlignment="1" applyProtection="1">
      <alignment horizontal="center" vertical="center"/>
      <protection locked="0"/>
    </xf>
    <xf numFmtId="0" fontId="2" fillId="2" borderId="1" xfId="0" applyFont="1" applyFill="1" applyBorder="1" applyAlignment="1" applyProtection="1">
      <alignment horizontal="center" vertical="center"/>
    </xf>
    <xf numFmtId="0" fontId="76" fillId="5" borderId="2" xfId="0" applyFont="1" applyFill="1" applyBorder="1" applyAlignment="1" applyProtection="1">
      <alignment horizontal="left" vertical="center" wrapText="1"/>
    </xf>
    <xf numFmtId="164" fontId="0" fillId="7" borderId="1" xfId="0" applyNumberFormat="1" applyFill="1" applyBorder="1" applyAlignment="1" applyProtection="1">
      <alignment horizontal="center" vertical="center"/>
      <protection locked="0"/>
    </xf>
    <xf numFmtId="164" fontId="0" fillId="7" borderId="1" xfId="0" applyNumberFormat="1" applyFill="1" applyBorder="1" applyAlignment="1" applyProtection="1">
      <alignment horizontal="center" vertical="center"/>
      <protection locked="0"/>
    </xf>
    <xf numFmtId="0" fontId="13" fillId="5" borderId="2" xfId="0" applyFont="1" applyFill="1" applyBorder="1" applyAlignment="1" applyProtection="1">
      <alignment horizontal="left" vertical="center" wrapText="1"/>
    </xf>
    <xf numFmtId="0" fontId="13" fillId="5" borderId="3" xfId="0" applyFont="1" applyFill="1" applyBorder="1" applyAlignment="1" applyProtection="1">
      <alignment horizontal="left" vertical="center" wrapText="1"/>
    </xf>
    <xf numFmtId="0" fontId="0" fillId="5" borderId="2" xfId="0" applyFont="1" applyFill="1" applyBorder="1" applyAlignment="1" applyProtection="1">
      <alignment horizontal="left" vertical="top" wrapText="1"/>
    </xf>
    <xf numFmtId="0" fontId="69" fillId="11" borderId="6" xfId="3" applyFont="1" applyFill="1" applyBorder="1" applyAlignment="1" applyProtection="1">
      <alignment horizontal="center" vertical="center" wrapText="1"/>
      <protection locked="0"/>
    </xf>
    <xf numFmtId="0" fontId="69" fillId="11" borderId="3" xfId="3" applyFont="1" applyFill="1" applyBorder="1" applyAlignment="1" applyProtection="1">
      <alignment horizontal="center" vertical="center" wrapText="1"/>
      <protection locked="0"/>
    </xf>
    <xf numFmtId="0" fontId="53" fillId="2" borderId="2" xfId="0" applyFont="1" applyFill="1" applyBorder="1" applyAlignment="1" applyProtection="1">
      <alignment horizontal="left" vertical="top" wrapText="1"/>
    </xf>
    <xf numFmtId="0" fontId="0" fillId="5" borderId="2" xfId="0" applyFill="1" applyBorder="1" applyAlignment="1" applyProtection="1">
      <alignment horizontal="left" vertical="top" wrapText="1"/>
    </xf>
    <xf numFmtId="0" fontId="53" fillId="2" borderId="6" xfId="0" applyFont="1" applyFill="1" applyBorder="1" applyAlignment="1" applyProtection="1">
      <alignment horizontal="center" vertical="center"/>
    </xf>
    <xf numFmtId="0" fontId="53" fillId="2" borderId="2" xfId="0" applyFont="1" applyFill="1" applyBorder="1" applyAlignment="1" applyProtection="1">
      <alignment horizontal="center" vertical="center"/>
    </xf>
    <xf numFmtId="0" fontId="53" fillId="2" borderId="3"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164" fontId="0" fillId="7" borderId="1" xfId="0" applyNumberFormat="1" applyFill="1" applyBorder="1" applyAlignment="1" applyProtection="1">
      <alignment horizontal="center" vertical="center"/>
      <protection locked="0"/>
    </xf>
    <xf numFmtId="0" fontId="0" fillId="0" borderId="6" xfId="0" applyBorder="1" applyAlignment="1" applyProtection="1">
      <alignment horizontal="left" vertical="center"/>
    </xf>
    <xf numFmtId="0" fontId="0" fillId="0" borderId="3" xfId="0" applyBorder="1" applyAlignment="1" applyProtection="1">
      <alignment horizontal="left" vertical="center"/>
    </xf>
    <xf numFmtId="0" fontId="0" fillId="5" borderId="6" xfId="0" applyFill="1" applyBorder="1" applyAlignment="1" applyProtection="1">
      <alignment horizontal="left" vertical="center"/>
    </xf>
    <xf numFmtId="0" fontId="0" fillId="5" borderId="2" xfId="0" applyFill="1" applyBorder="1" applyAlignment="1" applyProtection="1">
      <alignment horizontal="left" vertical="center"/>
    </xf>
    <xf numFmtId="0" fontId="0" fillId="5" borderId="3" xfId="0" applyFill="1" applyBorder="1" applyAlignment="1" applyProtection="1">
      <alignment horizontal="left" vertical="center"/>
    </xf>
    <xf numFmtId="0" fontId="2" fillId="2" borderId="1" xfId="0" applyFont="1" applyFill="1" applyBorder="1" applyAlignment="1" applyProtection="1">
      <alignment horizontal="center" vertical="center"/>
    </xf>
    <xf numFmtId="0" fontId="0" fillId="0" borderId="15"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5" xfId="0" applyBorder="1" applyAlignment="1" applyProtection="1">
      <alignment horizontal="left" vertical="center" wrapText="1"/>
    </xf>
    <xf numFmtId="0" fontId="0" fillId="2" borderId="6" xfId="0" applyFill="1" applyBorder="1" applyAlignment="1" applyProtection="1">
      <alignment horizontal="right" vertical="center"/>
    </xf>
    <xf numFmtId="0" fontId="0" fillId="2" borderId="3" xfId="0" applyFill="1" applyBorder="1" applyAlignment="1" applyProtection="1">
      <alignment horizontal="right" vertical="center"/>
    </xf>
    <xf numFmtId="0" fontId="0" fillId="2" borderId="6" xfId="0" applyFill="1" applyBorder="1" applyAlignment="1" applyProtection="1">
      <alignment horizontal="center" vertical="center"/>
    </xf>
    <xf numFmtId="0" fontId="0" fillId="2" borderId="3" xfId="0" applyFill="1" applyBorder="1" applyAlignment="1" applyProtection="1">
      <alignment horizontal="center" vertical="center"/>
    </xf>
    <xf numFmtId="0" fontId="13" fillId="2" borderId="1" xfId="0" applyFont="1" applyFill="1" applyBorder="1" applyAlignment="1" applyProtection="1">
      <alignment horizontal="center" vertical="center" wrapText="1"/>
    </xf>
    <xf numFmtId="0" fontId="0" fillId="2" borderId="15"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13" fillId="2" borderId="15"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0" fillId="2" borderId="2" xfId="0" applyFill="1" applyBorder="1" applyAlignment="1" applyProtection="1">
      <alignment horizontal="center" vertical="center"/>
    </xf>
    <xf numFmtId="0" fontId="0" fillId="0" borderId="1" xfId="0" applyFont="1" applyBorder="1" applyAlignment="1" applyProtection="1">
      <alignment vertical="center"/>
    </xf>
    <xf numFmtId="0" fontId="0" fillId="0" borderId="6"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6" xfId="0" applyFont="1" applyBorder="1" applyAlignment="1" applyProtection="1">
      <alignment vertical="center"/>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0" fillId="2" borderId="1" xfId="0" applyFill="1" applyBorder="1" applyAlignment="1" applyProtection="1">
      <alignment horizontal="center" vertical="center"/>
    </xf>
    <xf numFmtId="0" fontId="0" fillId="2" borderId="15"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0" borderId="10" xfId="0" applyFill="1" applyBorder="1" applyAlignment="1" applyProtection="1">
      <alignment horizontal="left" vertical="center"/>
    </xf>
    <xf numFmtId="0" fontId="0" fillId="0" borderId="11" xfId="0" applyFill="1" applyBorder="1" applyAlignment="1" applyProtection="1">
      <alignment horizontal="left" vertical="center"/>
    </xf>
    <xf numFmtId="0" fontId="0" fillId="0" borderId="13"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10" xfId="0" applyFont="1" applyBorder="1" applyAlignment="1" applyProtection="1">
      <alignment horizontal="left" vertical="center"/>
    </xf>
    <xf numFmtId="0" fontId="0" fillId="0" borderId="11" xfId="0" applyFont="1" applyBorder="1" applyAlignment="1" applyProtection="1">
      <alignment horizontal="left" vertical="center"/>
    </xf>
    <xf numFmtId="0" fontId="42" fillId="0" borderId="13" xfId="0" applyFont="1" applyBorder="1" applyAlignment="1" applyProtection="1">
      <alignment horizontal="left" vertical="center"/>
    </xf>
    <xf numFmtId="0" fontId="0" fillId="0" borderId="7" xfId="0" applyFill="1" applyBorder="1" applyAlignment="1" applyProtection="1">
      <alignment horizontal="left" vertical="center"/>
    </xf>
    <xf numFmtId="0" fontId="0" fillId="0" borderId="8" xfId="0" applyFill="1" applyBorder="1" applyAlignment="1" applyProtection="1">
      <alignment horizontal="left" vertical="center"/>
    </xf>
    <xf numFmtId="0" fontId="38" fillId="2" borderId="6" xfId="0" applyFont="1" applyFill="1" applyBorder="1" applyAlignment="1" applyProtection="1">
      <alignment horizontal="center" vertical="center"/>
    </xf>
    <xf numFmtId="0" fontId="38" fillId="2" borderId="2" xfId="0" applyFont="1" applyFill="1" applyBorder="1" applyAlignment="1" applyProtection="1">
      <alignment horizontal="center" vertical="center"/>
    </xf>
    <xf numFmtId="0" fontId="38" fillId="2" borderId="3" xfId="0" applyFont="1" applyFill="1" applyBorder="1" applyAlignment="1" applyProtection="1">
      <alignment horizontal="center" vertical="center"/>
    </xf>
    <xf numFmtId="164" fontId="0" fillId="0" borderId="10" xfId="0" applyNumberFormat="1" applyFont="1" applyFill="1" applyBorder="1" applyAlignment="1" applyProtection="1">
      <alignment horizontal="left" vertical="center" wrapText="1"/>
    </xf>
    <xf numFmtId="164" fontId="0" fillId="0" borderId="11" xfId="0" applyNumberFormat="1" applyFont="1" applyFill="1" applyBorder="1" applyAlignment="1" applyProtection="1">
      <alignment horizontal="left" vertical="center" wrapText="1"/>
    </xf>
    <xf numFmtId="0" fontId="38" fillId="2" borderId="1" xfId="0" applyFont="1" applyFill="1" applyBorder="1" applyAlignment="1" applyProtection="1">
      <alignment horizontal="center" vertical="center"/>
    </xf>
    <xf numFmtId="0" fontId="18" fillId="4" borderId="7" xfId="0" applyFont="1" applyFill="1" applyBorder="1" applyAlignment="1" applyProtection="1">
      <alignment horizontal="center" vertical="center" wrapText="1"/>
    </xf>
    <xf numFmtId="0" fontId="18" fillId="4" borderId="8" xfId="0" applyFont="1" applyFill="1" applyBorder="1" applyAlignment="1" applyProtection="1">
      <alignment horizontal="center" vertical="center" wrapText="1"/>
    </xf>
    <xf numFmtId="0" fontId="18" fillId="4" borderId="9" xfId="0" applyFont="1" applyFill="1" applyBorder="1" applyAlignment="1" applyProtection="1">
      <alignment horizontal="center" vertical="center" wrapText="1"/>
    </xf>
    <xf numFmtId="0" fontId="18" fillId="4" borderId="10" xfId="0" applyFont="1" applyFill="1" applyBorder="1" applyAlignment="1" applyProtection="1">
      <alignment horizontal="center" vertical="center" wrapText="1"/>
    </xf>
    <xf numFmtId="0" fontId="18" fillId="4" borderId="11" xfId="0" applyFont="1" applyFill="1" applyBorder="1" applyAlignment="1" applyProtection="1">
      <alignment horizontal="center" vertical="center" wrapText="1"/>
    </xf>
    <xf numFmtId="0" fontId="18" fillId="4" borderId="12" xfId="0" applyFont="1" applyFill="1" applyBorder="1" applyAlignment="1" applyProtection="1">
      <alignment horizontal="center" vertical="center" wrapText="1"/>
    </xf>
    <xf numFmtId="0" fontId="18" fillId="4" borderId="1" xfId="0" applyFont="1" applyFill="1" applyBorder="1" applyAlignment="1" applyProtection="1">
      <alignment horizontal="center" vertical="center" wrapText="1"/>
    </xf>
    <xf numFmtId="0" fontId="18" fillId="4" borderId="15" xfId="0" applyFont="1" applyFill="1" applyBorder="1" applyAlignment="1" applyProtection="1">
      <alignment horizontal="center" vertical="center" wrapText="1"/>
    </xf>
    <xf numFmtId="0" fontId="18" fillId="4" borderId="5" xfId="0" applyFont="1" applyFill="1" applyBorder="1" applyAlignment="1" applyProtection="1">
      <alignment horizontal="center" vertical="center" wrapText="1"/>
    </xf>
    <xf numFmtId="0" fontId="18" fillId="4" borderId="6" xfId="0" applyFont="1" applyFill="1" applyBorder="1" applyAlignment="1" applyProtection="1">
      <alignment horizontal="center" vertical="center"/>
    </xf>
    <xf numFmtId="0" fontId="18" fillId="4" borderId="2" xfId="0" applyFont="1" applyFill="1" applyBorder="1" applyAlignment="1" applyProtection="1">
      <alignment horizontal="center" vertical="center"/>
    </xf>
    <xf numFmtId="0" fontId="18" fillId="4" borderId="3" xfId="0" applyFont="1" applyFill="1" applyBorder="1" applyAlignment="1" applyProtection="1">
      <alignment horizontal="center" vertical="center"/>
    </xf>
    <xf numFmtId="0" fontId="18" fillId="4" borderId="4" xfId="0" applyFont="1" applyFill="1" applyBorder="1" applyAlignment="1" applyProtection="1">
      <alignment horizontal="center" vertical="center" wrapText="1"/>
    </xf>
    <xf numFmtId="0" fontId="46" fillId="4" borderId="1" xfId="0" applyFont="1" applyFill="1" applyBorder="1" applyAlignment="1" applyProtection="1">
      <alignment horizontal="center" vertical="center" wrapText="1"/>
    </xf>
    <xf numFmtId="0" fontId="33" fillId="8" borderId="1" xfId="0" applyFont="1" applyFill="1" applyBorder="1" applyAlignment="1" applyProtection="1">
      <alignment horizontal="center" vertical="center"/>
    </xf>
    <xf numFmtId="0" fontId="18" fillId="4" borderId="1" xfId="0" applyFont="1" applyFill="1" applyBorder="1" applyAlignment="1" applyProtection="1">
      <alignment horizontal="center" vertical="center"/>
    </xf>
    <xf numFmtId="0" fontId="57" fillId="4" borderId="1" xfId="0" applyFont="1" applyFill="1" applyBorder="1" applyAlignment="1" applyProtection="1">
      <alignment horizontal="center" vertical="center"/>
    </xf>
    <xf numFmtId="0" fontId="2" fillId="0" borderId="7" xfId="0" applyFont="1" applyBorder="1" applyAlignment="1" applyProtection="1">
      <alignment horizontal="left" vertical="center"/>
    </xf>
    <xf numFmtId="0" fontId="2" fillId="0" borderId="8" xfId="0" applyFont="1" applyBorder="1" applyAlignment="1" applyProtection="1">
      <alignment horizontal="left" vertical="center"/>
    </xf>
    <xf numFmtId="0" fontId="6" fillId="2" borderId="15"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164" fontId="0" fillId="0" borderId="7" xfId="0" applyNumberFormat="1" applyFont="1" applyFill="1" applyBorder="1" applyAlignment="1" applyProtection="1">
      <alignment horizontal="left" vertical="center" wrapText="1"/>
    </xf>
    <xf numFmtId="164" fontId="0" fillId="0" borderId="8" xfId="0" applyNumberFormat="1" applyFont="1" applyFill="1" applyBorder="1" applyAlignment="1" applyProtection="1">
      <alignment horizontal="left" vertical="center" wrapText="1"/>
    </xf>
    <xf numFmtId="0" fontId="2" fillId="0" borderId="13" xfId="0" applyFont="1" applyBorder="1" applyAlignment="1" applyProtection="1">
      <alignment horizontal="left" vertical="center"/>
    </xf>
    <xf numFmtId="0" fontId="2" fillId="0" borderId="0" xfId="0" applyFont="1" applyBorder="1" applyAlignment="1" applyProtection="1">
      <alignment horizontal="left" vertical="center"/>
    </xf>
    <xf numFmtId="0" fontId="57" fillId="4" borderId="1" xfId="0" applyFont="1" applyFill="1" applyBorder="1" applyAlignment="1" applyProtection="1">
      <alignment horizontal="center" vertical="center" wrapText="1"/>
    </xf>
    <xf numFmtId="0" fontId="39" fillId="4" borderId="11" xfId="0" applyFont="1" applyFill="1" applyBorder="1" applyAlignment="1" applyProtection="1">
      <alignment horizontal="center" vertical="center" wrapText="1"/>
    </xf>
    <xf numFmtId="0" fontId="39" fillId="4" borderId="12" xfId="0" applyFont="1" applyFill="1" applyBorder="1" applyAlignment="1" applyProtection="1">
      <alignment horizontal="center" vertical="center" wrapText="1"/>
    </xf>
    <xf numFmtId="0" fontId="39" fillId="4" borderId="10" xfId="0" applyFont="1" applyFill="1" applyBorder="1" applyAlignment="1" applyProtection="1">
      <alignment horizontal="center" vertical="center" wrapText="1"/>
    </xf>
    <xf numFmtId="0" fontId="41" fillId="6" borderId="6" xfId="0" applyFont="1" applyFill="1" applyBorder="1" applyAlignment="1" applyProtection="1">
      <alignment horizontal="center" vertical="center"/>
    </xf>
    <xf numFmtId="0" fontId="41" fillId="6" borderId="3" xfId="0" applyFont="1" applyFill="1" applyBorder="1" applyAlignment="1" applyProtection="1">
      <alignment horizontal="center" vertical="center"/>
    </xf>
    <xf numFmtId="0" fontId="40" fillId="6" borderId="6" xfId="0" applyFont="1" applyFill="1" applyBorder="1" applyAlignment="1" applyProtection="1">
      <alignment horizontal="center" vertical="center"/>
    </xf>
    <xf numFmtId="0" fontId="40" fillId="6" borderId="3" xfId="0" applyFont="1" applyFill="1" applyBorder="1" applyAlignment="1" applyProtection="1">
      <alignment horizontal="center" vertical="center"/>
    </xf>
    <xf numFmtId="0" fontId="43" fillId="4" borderId="1" xfId="0" applyFont="1" applyFill="1" applyBorder="1" applyAlignment="1" applyProtection="1">
      <alignment horizontal="center" vertical="center" wrapText="1"/>
    </xf>
    <xf numFmtId="0" fontId="39" fillId="4" borderId="7" xfId="0" applyFont="1" applyFill="1" applyBorder="1" applyAlignment="1" applyProtection="1">
      <alignment horizontal="center" vertical="center" wrapText="1"/>
    </xf>
    <xf numFmtId="0" fontId="39" fillId="4" borderId="8" xfId="0" applyFont="1" applyFill="1" applyBorder="1" applyAlignment="1" applyProtection="1">
      <alignment horizontal="center" vertical="center" wrapText="1"/>
    </xf>
    <xf numFmtId="0" fontId="39" fillId="4" borderId="9"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164" fontId="0" fillId="0" borderId="10" xfId="0" applyNumberFormat="1" applyBorder="1" applyAlignment="1" applyProtection="1">
      <alignment horizontal="left" vertical="center"/>
    </xf>
    <xf numFmtId="164" fontId="0" fillId="0" borderId="11" xfId="0" applyNumberFormat="1" applyBorder="1" applyAlignment="1" applyProtection="1">
      <alignment horizontal="left" vertical="center"/>
    </xf>
    <xf numFmtId="164" fontId="0" fillId="0" borderId="7" xfId="0" applyNumberFormat="1" applyBorder="1" applyAlignment="1" applyProtection="1">
      <alignment horizontal="left" vertical="center"/>
    </xf>
    <xf numFmtId="164" fontId="0" fillId="0" borderId="8" xfId="0" applyNumberFormat="1" applyBorder="1" applyAlignment="1" applyProtection="1">
      <alignment horizontal="left" vertical="center"/>
    </xf>
    <xf numFmtId="0" fontId="33" fillId="8" borderId="1"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xf>
    <xf numFmtId="0" fontId="48" fillId="2" borderId="1" xfId="0" applyFont="1" applyFill="1" applyBorder="1" applyAlignment="1" applyProtection="1">
      <alignment horizontal="center" vertical="center" wrapText="1"/>
    </xf>
    <xf numFmtId="0" fontId="50" fillId="4" borderId="15" xfId="0" applyFont="1" applyFill="1" applyBorder="1" applyAlignment="1" applyProtection="1">
      <alignment horizontal="center" vertical="center" wrapText="1"/>
    </xf>
    <xf numFmtId="0" fontId="50" fillId="4" borderId="5" xfId="0" applyFont="1" applyFill="1" applyBorder="1" applyAlignment="1" applyProtection="1">
      <alignment horizontal="center" vertical="center" wrapText="1"/>
    </xf>
    <xf numFmtId="0" fontId="16" fillId="0" borderId="15"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1" xfId="0" applyFont="1" applyBorder="1" applyAlignment="1">
      <alignment horizontal="left" vertical="center" wrapText="1"/>
    </xf>
    <xf numFmtId="0" fontId="31" fillId="2" borderId="6"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4" fillId="5" borderId="8" xfId="0" applyFont="1" applyFill="1" applyBorder="1" applyAlignment="1" applyProtection="1">
      <alignment horizontal="center" vertical="top" wrapText="1"/>
    </xf>
    <xf numFmtId="0" fontId="41" fillId="2" borderId="8" xfId="0" applyFont="1" applyFill="1" applyBorder="1" applyAlignment="1" applyProtection="1">
      <alignment horizontal="center" vertical="center" wrapText="1"/>
    </xf>
    <xf numFmtId="0" fontId="41" fillId="2" borderId="8" xfId="0" applyFont="1" applyFill="1" applyBorder="1" applyAlignment="1" applyProtection="1">
      <alignment horizontal="center" vertical="center"/>
    </xf>
    <xf numFmtId="0" fontId="14" fillId="5" borderId="8" xfId="0" applyFont="1" applyFill="1" applyBorder="1" applyAlignment="1">
      <alignment horizontal="center" vertical="top" wrapText="1"/>
    </xf>
    <xf numFmtId="164" fontId="0" fillId="5" borderId="0" xfId="0" applyNumberFormat="1" applyFill="1" applyAlignment="1" applyProtection="1">
      <alignment horizontal="center" vertical="center"/>
    </xf>
  </cellXfs>
  <cellStyles count="4">
    <cellStyle name="Komma" xfId="1" builtinId="3"/>
    <cellStyle name="Link" xfId="3" builtinId="8"/>
    <cellStyle name="Prozent" xfId="2" builtinId="5"/>
    <cellStyle name="Standard" xfId="0" builtinId="0"/>
  </cellStyles>
  <dxfs count="10">
    <dxf>
      <font>
        <b/>
        <i val="0"/>
        <color rgb="FFFF0000"/>
      </font>
      <fill>
        <patternFill>
          <bgColor theme="8" tint="0.79998168889431442"/>
        </patternFill>
      </fill>
    </dxf>
    <dxf>
      <font>
        <b/>
        <i val="0"/>
        <color rgb="FFFF0000"/>
      </font>
      <fill>
        <patternFill>
          <bgColor theme="8" tint="0.79998168889431442"/>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9" tint="0.39994506668294322"/>
      </font>
      <fill>
        <patternFill>
          <bgColor theme="9" tint="0.39994506668294322"/>
        </patternFill>
      </fill>
    </dxf>
    <dxf>
      <font>
        <b/>
        <i val="0"/>
        <color rgb="FF00B050"/>
      </font>
      <fill>
        <patternFill>
          <bgColor theme="8" tint="0.79998168889431442"/>
        </patternFill>
      </fill>
    </dxf>
    <dxf>
      <font>
        <b/>
        <i val="0"/>
        <color rgb="FFFF0000"/>
      </font>
      <fill>
        <patternFill>
          <bgColor theme="8" tint="0.79998168889431442"/>
        </patternFill>
      </fill>
    </dxf>
    <dxf>
      <fill>
        <patternFill>
          <bgColor theme="9" tint="0.79998168889431442"/>
        </patternFill>
      </fill>
    </dxf>
    <dxf>
      <fill>
        <patternFill>
          <bgColor theme="9" tint="0.79998168889431442"/>
        </patternFill>
      </fill>
    </dxf>
    <dxf>
      <fill>
        <patternFill>
          <bgColor rgb="FFFF9999"/>
        </patternFill>
      </fill>
    </dxf>
  </dxfs>
  <tableStyles count="0" defaultTableStyle="TableStyleMedium2" defaultPivotStyle="PivotStyleLight16"/>
  <colors>
    <mruColors>
      <color rgb="FFFF9999"/>
      <color rgb="FFFF8F8F"/>
      <color rgb="FFFFFFCC"/>
      <color rgb="FFFFCCCC"/>
      <color rgb="FFF0E1FF"/>
      <color rgb="FF820000"/>
      <color rgb="FF9E5ECE"/>
      <color rgb="FF66FFFF"/>
      <color rgb="FFCC99FF"/>
      <color rgb="FF008A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nece.org/documents-reference-only-0" TargetMode="External"/><Relationship Id="rId2" Type="http://schemas.openxmlformats.org/officeDocument/2006/relationships/hyperlink" Target="https://unece.org/documents-reference-only-0" TargetMode="External"/><Relationship Id="rId1" Type="http://schemas.openxmlformats.org/officeDocument/2006/relationships/hyperlink" Target="https://www.utac.com/unece-rd-asep-form" TargetMode="External"/><Relationship Id="rId5" Type="http://schemas.openxmlformats.org/officeDocument/2006/relationships/printerSettings" Target="../printerSettings/printerSettings1.bin"/><Relationship Id="rId4" Type="http://schemas.openxmlformats.org/officeDocument/2006/relationships/hyperlink" Target="https://www.utac.com/unece-rdasep-for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EA217-3677-4384-AABE-34A293DAF667}">
  <sheetPr>
    <tabColor theme="8" tint="0.79998168889431442"/>
  </sheetPr>
  <dimension ref="A1:G34"/>
  <sheetViews>
    <sheetView tabSelected="1" zoomScaleNormal="100" workbookViewId="0">
      <selection activeCell="C6" sqref="C6"/>
    </sheetView>
  </sheetViews>
  <sheetFormatPr baseColWidth="10" defaultColWidth="0" defaultRowHeight="15" zeroHeight="1"/>
  <cols>
    <col min="1" max="1" width="22.7109375" style="194" customWidth="1"/>
    <col min="2" max="2" width="38.28515625" style="194" customWidth="1"/>
    <col min="3" max="3" width="112.85546875" style="194" customWidth="1"/>
    <col min="4" max="5" width="20.7109375" style="195" customWidth="1"/>
    <col min="6" max="7" width="0" style="169" hidden="1" customWidth="1"/>
    <col min="8" max="16384" width="11.42578125" style="169" hidden="1"/>
  </cols>
  <sheetData>
    <row r="1" spans="1:5" ht="18.75">
      <c r="A1" s="167" t="s">
        <v>405</v>
      </c>
      <c r="B1" s="167"/>
      <c r="C1" s="167"/>
      <c r="D1" s="168"/>
      <c r="E1" s="168"/>
    </row>
    <row r="2" spans="1:5">
      <c r="A2" s="170"/>
      <c r="B2" s="170"/>
      <c r="C2" s="170"/>
      <c r="D2" s="171"/>
      <c r="E2" s="171"/>
    </row>
    <row r="3" spans="1:5" s="173" customFormat="1" ht="24.95" customHeight="1">
      <c r="A3" s="170"/>
      <c r="B3" s="203" t="s">
        <v>470</v>
      </c>
      <c r="C3" s="203"/>
      <c r="D3" s="203"/>
      <c r="E3" s="204"/>
    </row>
    <row r="4" spans="1:5" s="173" customFormat="1" ht="45" customHeight="1">
      <c r="A4" s="170"/>
      <c r="B4" s="172" t="s">
        <v>495</v>
      </c>
      <c r="C4" s="197" t="s">
        <v>496</v>
      </c>
      <c r="D4" s="206" t="s">
        <v>404</v>
      </c>
      <c r="E4" s="207"/>
    </row>
    <row r="5" spans="1:5">
      <c r="A5" s="170"/>
      <c r="B5" s="170"/>
      <c r="C5" s="170"/>
      <c r="D5" s="171"/>
      <c r="E5" s="171"/>
    </row>
    <row r="6" spans="1:5" ht="18.75">
      <c r="A6" s="167" t="s">
        <v>441</v>
      </c>
      <c r="B6" s="167"/>
      <c r="C6" s="167"/>
      <c r="D6" s="168"/>
      <c r="E6" s="168"/>
    </row>
    <row r="7" spans="1:5">
      <c r="A7" s="170"/>
      <c r="B7" s="170"/>
      <c r="C7" s="170"/>
      <c r="D7" s="171"/>
      <c r="E7" s="171"/>
    </row>
    <row r="8" spans="1:5" ht="64.900000000000006" customHeight="1">
      <c r="A8" s="170"/>
      <c r="B8" s="205" t="s">
        <v>463</v>
      </c>
      <c r="C8" s="205"/>
      <c r="D8" s="205"/>
      <c r="E8" s="205"/>
    </row>
    <row r="9" spans="1:5">
      <c r="A9" s="169"/>
      <c r="B9" s="170"/>
      <c r="C9" s="170"/>
      <c r="D9" s="171"/>
      <c r="E9" s="171"/>
    </row>
    <row r="10" spans="1:5" ht="18.75">
      <c r="A10" s="167" t="s">
        <v>447</v>
      </c>
      <c r="B10" s="167"/>
      <c r="C10" s="167"/>
      <c r="D10" s="168"/>
      <c r="E10" s="168"/>
    </row>
    <row r="11" spans="1:5">
      <c r="A11" s="170"/>
      <c r="B11" s="170"/>
      <c r="C11" s="170"/>
      <c r="D11" s="171"/>
      <c r="E11" s="171"/>
    </row>
    <row r="12" spans="1:5" ht="45" customHeight="1">
      <c r="A12" s="170"/>
      <c r="B12" s="174" t="s">
        <v>462</v>
      </c>
      <c r="C12" s="200" t="s">
        <v>471</v>
      </c>
      <c r="D12" s="206" t="s">
        <v>469</v>
      </c>
      <c r="E12" s="207"/>
    </row>
    <row r="13" spans="1:5">
      <c r="A13" s="169"/>
      <c r="B13" s="170"/>
      <c r="C13" s="170"/>
      <c r="D13" s="171"/>
      <c r="E13" s="171"/>
    </row>
    <row r="14" spans="1:5" ht="18.75">
      <c r="A14" s="167" t="s">
        <v>234</v>
      </c>
      <c r="B14" s="167" t="s">
        <v>442</v>
      </c>
      <c r="C14" s="167"/>
      <c r="D14" s="168" t="s">
        <v>261</v>
      </c>
      <c r="E14" s="168" t="s">
        <v>239</v>
      </c>
    </row>
    <row r="15" spans="1:5">
      <c r="A15" s="169"/>
      <c r="B15" s="170"/>
      <c r="C15" s="170"/>
      <c r="D15" s="171"/>
      <c r="E15" s="171"/>
    </row>
    <row r="16" spans="1:5" ht="34.9" customHeight="1">
      <c r="A16" s="170"/>
      <c r="B16" s="175" t="s">
        <v>235</v>
      </c>
      <c r="C16" s="176" t="s">
        <v>461</v>
      </c>
      <c r="D16" s="177" t="s">
        <v>236</v>
      </c>
      <c r="E16" s="177" t="s">
        <v>236</v>
      </c>
    </row>
    <row r="17" spans="1:5" ht="35.1" customHeight="1">
      <c r="A17" s="170"/>
      <c r="B17" s="178" t="s">
        <v>459</v>
      </c>
      <c r="C17" s="179" t="s">
        <v>460</v>
      </c>
      <c r="D17" s="180" t="s">
        <v>237</v>
      </c>
      <c r="E17" s="181" t="s">
        <v>237</v>
      </c>
    </row>
    <row r="18" spans="1:5" ht="45" customHeight="1">
      <c r="A18" s="170"/>
      <c r="B18" s="178" t="s">
        <v>238</v>
      </c>
      <c r="C18" s="179" t="s">
        <v>443</v>
      </c>
      <c r="D18" s="182" t="s">
        <v>237</v>
      </c>
      <c r="E18" s="182" t="s">
        <v>236</v>
      </c>
    </row>
    <row r="19" spans="1:5" ht="75" customHeight="1">
      <c r="A19" s="170"/>
      <c r="B19" s="178" t="s">
        <v>240</v>
      </c>
      <c r="C19" s="179" t="s">
        <v>444</v>
      </c>
      <c r="D19" s="182" t="s">
        <v>237</v>
      </c>
      <c r="E19" s="182" t="s">
        <v>236</v>
      </c>
    </row>
    <row r="20" spans="1:5" ht="34.9" customHeight="1">
      <c r="A20" s="170"/>
      <c r="B20" s="178" t="s">
        <v>241</v>
      </c>
      <c r="C20" s="179" t="s">
        <v>445</v>
      </c>
      <c r="D20" s="182" t="s">
        <v>237</v>
      </c>
      <c r="E20" s="182" t="s">
        <v>236</v>
      </c>
    </row>
    <row r="21" spans="1:5" ht="79.900000000000006" customHeight="1">
      <c r="A21" s="170"/>
      <c r="B21" s="178" t="s">
        <v>242</v>
      </c>
      <c r="C21" s="179" t="s">
        <v>446</v>
      </c>
      <c r="D21" s="183" t="s">
        <v>259</v>
      </c>
      <c r="E21" s="182" t="s">
        <v>236</v>
      </c>
    </row>
    <row r="22" spans="1:5" ht="95.1" customHeight="1">
      <c r="A22" s="170"/>
      <c r="B22" s="178" t="s">
        <v>243</v>
      </c>
      <c r="C22" s="179" t="s">
        <v>347</v>
      </c>
      <c r="D22" s="182" t="s">
        <v>237</v>
      </c>
      <c r="E22" s="182" t="s">
        <v>236</v>
      </c>
    </row>
    <row r="23" spans="1:5" ht="25.15" customHeight="1">
      <c r="A23" s="170"/>
      <c r="B23" s="178" t="s">
        <v>244</v>
      </c>
      <c r="C23" s="179" t="s">
        <v>436</v>
      </c>
      <c r="D23" s="184" t="s">
        <v>236</v>
      </c>
      <c r="E23" s="185" t="s">
        <v>236</v>
      </c>
    </row>
    <row r="24" spans="1:5" ht="54.95" customHeight="1">
      <c r="A24" s="170"/>
      <c r="B24" s="178" t="s">
        <v>245</v>
      </c>
      <c r="C24" s="179" t="s">
        <v>348</v>
      </c>
      <c r="D24" s="184" t="s">
        <v>236</v>
      </c>
      <c r="E24" s="185" t="s">
        <v>236</v>
      </c>
    </row>
    <row r="25" spans="1:5" ht="85.15" customHeight="1">
      <c r="A25" s="170"/>
      <c r="B25" s="178" t="s">
        <v>246</v>
      </c>
      <c r="C25" s="179" t="s">
        <v>440</v>
      </c>
      <c r="D25" s="182" t="s">
        <v>237</v>
      </c>
      <c r="E25" s="182" t="s">
        <v>236</v>
      </c>
    </row>
    <row r="26" spans="1:5">
      <c r="A26" s="169"/>
      <c r="B26" s="170"/>
      <c r="C26" s="186"/>
      <c r="D26" s="171"/>
      <c r="E26" s="171"/>
    </row>
    <row r="27" spans="1:5" s="188" customFormat="1" ht="45" customHeight="1">
      <c r="A27" s="187" t="s">
        <v>255</v>
      </c>
      <c r="B27" s="208" t="s">
        <v>260</v>
      </c>
      <c r="C27" s="208"/>
      <c r="D27" s="208"/>
      <c r="E27" s="208"/>
    </row>
    <row r="28" spans="1:5">
      <c r="A28" s="169"/>
      <c r="B28" s="170"/>
      <c r="C28" s="186"/>
      <c r="D28" s="171"/>
      <c r="E28" s="171"/>
    </row>
    <row r="29" spans="1:5" ht="49.9" customHeight="1">
      <c r="A29" s="170"/>
      <c r="B29" s="189" t="s">
        <v>247</v>
      </c>
      <c r="C29" s="209" t="s">
        <v>437</v>
      </c>
      <c r="D29" s="209"/>
      <c r="E29" s="209"/>
    </row>
    <row r="30" spans="1:5" ht="25.15" customHeight="1">
      <c r="A30" s="170"/>
      <c r="B30" s="190" t="s">
        <v>248</v>
      </c>
      <c r="C30" s="209" t="s">
        <v>439</v>
      </c>
      <c r="D30" s="209"/>
      <c r="E30" s="209"/>
    </row>
    <row r="31" spans="1:5" ht="25.15" customHeight="1">
      <c r="A31" s="170"/>
      <c r="B31" s="191" t="s">
        <v>249</v>
      </c>
      <c r="C31" s="209" t="s">
        <v>438</v>
      </c>
      <c r="D31" s="209"/>
      <c r="E31" s="209"/>
    </row>
    <row r="32" spans="1:5" ht="25.15" customHeight="1">
      <c r="A32" s="170"/>
      <c r="B32" s="192" t="s">
        <v>250</v>
      </c>
      <c r="C32" s="193" t="s">
        <v>251</v>
      </c>
      <c r="D32" s="193"/>
      <c r="E32" s="193"/>
    </row>
    <row r="33" spans="1:5" ht="25.15" customHeight="1">
      <c r="A33" s="170"/>
      <c r="B33" s="178" t="s">
        <v>275</v>
      </c>
      <c r="C33" s="193" t="s">
        <v>276</v>
      </c>
      <c r="D33" s="193"/>
      <c r="E33" s="193"/>
    </row>
    <row r="34" spans="1:5">
      <c r="A34" s="170"/>
      <c r="B34" s="170"/>
      <c r="C34" s="170"/>
      <c r="D34" s="171"/>
      <c r="E34" s="171"/>
    </row>
  </sheetData>
  <sheetProtection algorithmName="SHA-512" hashValue="91UIWro5Nlq5K4Hv/tD6mHuMeCIfVBb853JRlv74z/EurmqO192q1C9+s2tC1v/HK2+qJoO+OP+PH9ofGIJ9tg==" saltValue="6enB5k9sUPvwa1T3WbK3DQ==" spinCount="100000" sheet="1" objects="1" scenarios="1"/>
  <mergeCells count="8">
    <mergeCell ref="B3:E3"/>
    <mergeCell ref="B8:E8"/>
    <mergeCell ref="D4:E4"/>
    <mergeCell ref="B27:E27"/>
    <mergeCell ref="C31:E31"/>
    <mergeCell ref="D12:E12"/>
    <mergeCell ref="C29:E29"/>
    <mergeCell ref="C30:E30"/>
  </mergeCells>
  <hyperlinks>
    <hyperlink ref="D12" r:id="rId1" display="https://www.utac.com/unece-rd-asep-form" xr:uid="{F3B0B959-F49B-4981-A6D1-6B471D5C6872}"/>
    <hyperlink ref="D4" r:id="rId2" display="https://unece.org/documents-reference-only-0" xr:uid="{C47583FB-12F2-47B8-BC25-F1FA2136F88E}"/>
    <hyperlink ref="D4:E4" r:id="rId3" display="GRBP/documents-reference-only" xr:uid="{E4E20BC4-31AA-49EA-B26F-68ACADDBE775}"/>
    <hyperlink ref="D12:E12" r:id="rId4" display="UPLOAD DATA TO SERVER" xr:uid="{F8814E46-6BA7-485E-B2A4-347CD03F183C}"/>
  </hyperlinks>
  <pageMargins left="0.7" right="0.7" top="0.78740157499999996" bottom="0.78740157499999996"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2FE96-24DD-491B-8C56-4A866D6D05A5}">
  <sheetPr>
    <tabColor theme="9" tint="0.79998168889431442"/>
  </sheetPr>
  <dimension ref="A1:J78"/>
  <sheetViews>
    <sheetView zoomScaleNormal="100" workbookViewId="0">
      <pane ySplit="2" topLeftCell="A3" activePane="bottomLeft" state="frozen"/>
      <selection pane="bottomLeft" activeCell="B14" sqref="B14"/>
    </sheetView>
  </sheetViews>
  <sheetFormatPr baseColWidth="10" defaultColWidth="0" defaultRowHeight="15" zeroHeight="1"/>
  <cols>
    <col min="1" max="1" width="8.7109375" style="59" customWidth="1"/>
    <col min="2" max="2" width="140.7109375" style="59" customWidth="1"/>
    <col min="3" max="3" width="6.7109375" style="59" customWidth="1"/>
    <col min="4" max="8" width="12.7109375" style="59" customWidth="1"/>
    <col min="9" max="9" width="11.42578125" style="59" hidden="1" customWidth="1"/>
    <col min="10" max="10" width="0" style="59" hidden="1" customWidth="1"/>
    <col min="11" max="16384" width="11.42578125" style="59" hidden="1"/>
  </cols>
  <sheetData>
    <row r="1" spans="1:8" s="19" customFormat="1" ht="54.95" customHeight="1">
      <c r="A1" s="323" t="s">
        <v>302</v>
      </c>
      <c r="B1" s="324"/>
      <c r="C1" s="324"/>
      <c r="D1" s="324"/>
      <c r="E1" s="324"/>
      <c r="F1" s="324"/>
      <c r="G1" s="324"/>
      <c r="H1" s="324"/>
    </row>
    <row r="2" spans="1:8" s="111" customFormat="1" ht="24.95" customHeight="1">
      <c r="A2" s="90" t="s">
        <v>287</v>
      </c>
      <c r="B2" s="110" t="s">
        <v>286</v>
      </c>
      <c r="C2" s="110"/>
      <c r="D2" s="214" t="s">
        <v>295</v>
      </c>
      <c r="E2" s="214"/>
      <c r="F2" s="214"/>
      <c r="G2" s="214"/>
      <c r="H2" s="214"/>
    </row>
    <row r="3" spans="1:8" s="19" customFormat="1" ht="15" customHeight="1">
      <c r="A3" s="54"/>
      <c r="B3" s="112"/>
      <c r="C3" s="112"/>
      <c r="D3" s="113">
        <v>5</v>
      </c>
      <c r="E3" s="113">
        <v>4</v>
      </c>
      <c r="F3" s="113">
        <v>3</v>
      </c>
      <c r="G3" s="113">
        <v>2</v>
      </c>
      <c r="H3" s="113">
        <v>1</v>
      </c>
    </row>
    <row r="4" spans="1:8" s="19" customFormat="1" ht="24.95" customHeight="1">
      <c r="A4" s="114" t="s">
        <v>316</v>
      </c>
      <c r="B4" s="115" t="s">
        <v>296</v>
      </c>
      <c r="C4" s="116"/>
      <c r="D4" s="60"/>
      <c r="E4" s="60"/>
      <c r="F4" s="60"/>
      <c r="G4" s="60"/>
      <c r="H4" s="60"/>
    </row>
    <row r="5" spans="1:8" s="19" customFormat="1" ht="24.95" customHeight="1">
      <c r="A5" s="53"/>
      <c r="B5" s="112" t="s">
        <v>307</v>
      </c>
      <c r="C5" s="112"/>
      <c r="D5" s="322" t="s">
        <v>291</v>
      </c>
      <c r="E5" s="322"/>
      <c r="F5" s="322"/>
      <c r="G5" s="322"/>
      <c r="H5" s="322"/>
    </row>
    <row r="6" spans="1:8" s="19" customFormat="1" ht="60" customHeight="1">
      <c r="A6" s="53"/>
      <c r="B6" s="126"/>
      <c r="C6" s="117"/>
      <c r="D6" s="112"/>
      <c r="E6" s="112"/>
      <c r="F6" s="112"/>
      <c r="G6" s="112"/>
      <c r="H6" s="112"/>
    </row>
    <row r="7" spans="1:8" s="19" customFormat="1" ht="15" customHeight="1">
      <c r="A7" s="118"/>
      <c r="B7" s="119"/>
      <c r="C7" s="119"/>
      <c r="D7" s="120"/>
      <c r="E7" s="120"/>
      <c r="F7" s="120"/>
      <c r="G7" s="120"/>
      <c r="H7" s="120"/>
    </row>
    <row r="8" spans="1:8" s="19" customFormat="1" ht="15" customHeight="1">
      <c r="A8" s="54"/>
      <c r="B8" s="112"/>
      <c r="C8" s="112"/>
      <c r="D8" s="113">
        <v>5</v>
      </c>
      <c r="E8" s="113">
        <v>4</v>
      </c>
      <c r="F8" s="113">
        <v>3</v>
      </c>
      <c r="G8" s="113">
        <v>2</v>
      </c>
      <c r="H8" s="113">
        <v>1</v>
      </c>
    </row>
    <row r="9" spans="1:8" s="19" customFormat="1" ht="24.95" customHeight="1">
      <c r="A9" s="114" t="s">
        <v>317</v>
      </c>
      <c r="B9" s="115" t="s">
        <v>298</v>
      </c>
      <c r="C9" s="116"/>
      <c r="D9" s="60"/>
      <c r="E9" s="60"/>
      <c r="F9" s="60"/>
      <c r="G9" s="60"/>
      <c r="H9" s="60"/>
    </row>
    <row r="10" spans="1:8" s="19" customFormat="1" ht="24.95" customHeight="1">
      <c r="A10" s="53"/>
      <c r="B10" s="112" t="s">
        <v>307</v>
      </c>
      <c r="C10" s="112"/>
      <c r="D10" s="322" t="s">
        <v>292</v>
      </c>
      <c r="E10" s="322"/>
      <c r="F10" s="322"/>
      <c r="G10" s="322"/>
      <c r="H10" s="322"/>
    </row>
    <row r="11" spans="1:8" s="19" customFormat="1" ht="60" customHeight="1">
      <c r="A11" s="53"/>
      <c r="B11" s="126"/>
      <c r="C11" s="117"/>
      <c r="D11" s="112"/>
      <c r="E11" s="112"/>
      <c r="F11" s="112"/>
      <c r="G11" s="112"/>
      <c r="H11" s="112"/>
    </row>
    <row r="12" spans="1:8" s="19" customFormat="1" ht="15" customHeight="1">
      <c r="A12" s="118"/>
      <c r="B12" s="120"/>
      <c r="C12" s="120"/>
      <c r="D12" s="119"/>
      <c r="E12" s="119"/>
      <c r="F12" s="119"/>
      <c r="G12" s="119"/>
      <c r="H12" s="119"/>
    </row>
    <row r="13" spans="1:8" s="19" customFormat="1" ht="15" customHeight="1">
      <c r="A13" s="54"/>
      <c r="B13" s="112"/>
      <c r="C13" s="112"/>
      <c r="D13" s="113">
        <v>5</v>
      </c>
      <c r="E13" s="113">
        <v>4</v>
      </c>
      <c r="F13" s="113">
        <v>3</v>
      </c>
      <c r="G13" s="113">
        <v>2</v>
      </c>
      <c r="H13" s="113">
        <v>1</v>
      </c>
    </row>
    <row r="14" spans="1:8" s="19" customFormat="1" ht="24.95" customHeight="1">
      <c r="A14" s="114" t="s">
        <v>318</v>
      </c>
      <c r="B14" s="115" t="s">
        <v>299</v>
      </c>
      <c r="C14" s="116"/>
      <c r="D14" s="60"/>
      <c r="E14" s="60"/>
      <c r="F14" s="60"/>
      <c r="G14" s="60"/>
      <c r="H14" s="60"/>
    </row>
    <row r="15" spans="1:8" s="19" customFormat="1" ht="24.95" customHeight="1">
      <c r="A15" s="53"/>
      <c r="B15" s="112" t="s">
        <v>288</v>
      </c>
      <c r="C15" s="112"/>
      <c r="D15" s="322" t="s">
        <v>300</v>
      </c>
      <c r="E15" s="322"/>
      <c r="F15" s="322"/>
      <c r="G15" s="322"/>
      <c r="H15" s="322"/>
    </row>
    <row r="16" spans="1:8" s="19" customFormat="1" ht="60" customHeight="1">
      <c r="A16" s="53"/>
      <c r="B16" s="126"/>
      <c r="C16" s="117"/>
      <c r="D16" s="112"/>
      <c r="E16" s="112"/>
      <c r="F16" s="112"/>
      <c r="G16" s="112"/>
      <c r="H16" s="112"/>
    </row>
    <row r="17" spans="1:8" s="19" customFormat="1" ht="15" customHeight="1">
      <c r="A17" s="118"/>
      <c r="B17" s="120"/>
      <c r="C17" s="120"/>
      <c r="D17" s="119"/>
      <c r="E17" s="119"/>
      <c r="F17" s="119"/>
      <c r="G17" s="119"/>
      <c r="H17" s="119"/>
    </row>
    <row r="18" spans="1:8" s="19" customFormat="1" ht="15" customHeight="1">
      <c r="A18" s="53"/>
      <c r="B18" s="112"/>
      <c r="C18" s="112"/>
      <c r="D18" s="113">
        <v>5</v>
      </c>
      <c r="E18" s="113">
        <v>4</v>
      </c>
      <c r="F18" s="113">
        <v>3</v>
      </c>
      <c r="G18" s="113">
        <v>2</v>
      </c>
      <c r="H18" s="113">
        <v>1</v>
      </c>
    </row>
    <row r="19" spans="1:8" s="19" customFormat="1" ht="24.95" customHeight="1">
      <c r="A19" s="114" t="s">
        <v>319</v>
      </c>
      <c r="B19" s="115" t="s">
        <v>293</v>
      </c>
      <c r="C19" s="116"/>
      <c r="D19" s="60"/>
      <c r="E19" s="60"/>
      <c r="F19" s="60"/>
      <c r="G19" s="60"/>
      <c r="H19" s="60"/>
    </row>
    <row r="20" spans="1:8" s="19" customFormat="1" ht="24.95" customHeight="1">
      <c r="A20" s="53"/>
      <c r="B20" s="112" t="s">
        <v>307</v>
      </c>
      <c r="C20" s="112"/>
      <c r="D20" s="322" t="s">
        <v>294</v>
      </c>
      <c r="E20" s="322"/>
      <c r="F20" s="322"/>
      <c r="G20" s="322"/>
      <c r="H20" s="322"/>
    </row>
    <row r="21" spans="1:8" s="19" customFormat="1" ht="60" customHeight="1">
      <c r="A21" s="53"/>
      <c r="B21" s="126"/>
      <c r="C21" s="117"/>
      <c r="D21" s="112"/>
      <c r="E21" s="112"/>
      <c r="F21" s="112"/>
      <c r="G21" s="112"/>
      <c r="H21" s="112"/>
    </row>
    <row r="22" spans="1:8" s="19" customFormat="1" ht="15" customHeight="1">
      <c r="A22" s="118"/>
      <c r="B22" s="120"/>
      <c r="C22" s="119"/>
      <c r="D22" s="119"/>
      <c r="E22" s="119"/>
      <c r="F22" s="119"/>
      <c r="G22" s="119"/>
      <c r="H22" s="119"/>
    </row>
    <row r="23" spans="1:8" s="19" customFormat="1" ht="15" customHeight="1">
      <c r="A23" s="53"/>
      <c r="B23" s="112"/>
      <c r="C23" s="112"/>
      <c r="D23" s="113">
        <v>5</v>
      </c>
      <c r="E23" s="113">
        <v>4</v>
      </c>
      <c r="F23" s="113">
        <v>3</v>
      </c>
      <c r="G23" s="113">
        <v>2</v>
      </c>
      <c r="H23" s="113">
        <v>1</v>
      </c>
    </row>
    <row r="24" spans="1:8" s="19" customFormat="1" ht="24.95" customHeight="1">
      <c r="A24" s="114" t="s">
        <v>320</v>
      </c>
      <c r="B24" s="115" t="s">
        <v>301</v>
      </c>
      <c r="C24" s="116"/>
      <c r="D24" s="60"/>
      <c r="E24" s="60"/>
      <c r="F24" s="60"/>
      <c r="G24" s="60"/>
      <c r="H24" s="60"/>
    </row>
    <row r="25" spans="1:8" s="19" customFormat="1" ht="24.95" customHeight="1">
      <c r="A25" s="53"/>
      <c r="B25" s="112" t="s">
        <v>288</v>
      </c>
      <c r="C25" s="112"/>
      <c r="D25" s="322" t="s">
        <v>434</v>
      </c>
      <c r="E25" s="322"/>
      <c r="F25" s="322"/>
      <c r="G25" s="322"/>
      <c r="H25" s="322"/>
    </row>
    <row r="26" spans="1:8" s="19" customFormat="1" ht="60" customHeight="1">
      <c r="A26" s="53"/>
      <c r="B26" s="126"/>
      <c r="C26" s="117"/>
      <c r="D26" s="112"/>
      <c r="E26" s="112"/>
      <c r="F26" s="112"/>
      <c r="G26" s="112"/>
      <c r="H26" s="112"/>
    </row>
    <row r="27" spans="1:8" s="19" customFormat="1" ht="15" customHeight="1">
      <c r="A27" s="118"/>
      <c r="B27" s="120"/>
      <c r="C27" s="119"/>
      <c r="D27" s="119"/>
      <c r="E27" s="119"/>
      <c r="F27" s="119"/>
      <c r="G27" s="119"/>
      <c r="H27" s="119"/>
    </row>
    <row r="28" spans="1:8" s="19" customFormat="1" ht="15" customHeight="1">
      <c r="A28" s="53"/>
      <c r="B28" s="112"/>
      <c r="C28" s="112"/>
      <c r="D28" s="113">
        <v>5</v>
      </c>
      <c r="E28" s="113">
        <v>4</v>
      </c>
      <c r="F28" s="113">
        <v>3</v>
      </c>
      <c r="G28" s="113">
        <v>2</v>
      </c>
      <c r="H28" s="113">
        <v>1</v>
      </c>
    </row>
    <row r="29" spans="1:8" s="19" customFormat="1" ht="24.95" customHeight="1">
      <c r="A29" s="114" t="s">
        <v>321</v>
      </c>
      <c r="B29" s="115" t="s">
        <v>289</v>
      </c>
      <c r="C29" s="116"/>
      <c r="D29" s="60"/>
      <c r="E29" s="60"/>
      <c r="F29" s="60"/>
      <c r="G29" s="60"/>
      <c r="H29" s="60"/>
    </row>
    <row r="30" spans="1:8" s="19" customFormat="1" ht="24.95" customHeight="1">
      <c r="A30" s="53"/>
      <c r="B30" s="112" t="s">
        <v>307</v>
      </c>
      <c r="C30" s="112"/>
      <c r="D30" s="322" t="s">
        <v>432</v>
      </c>
      <c r="E30" s="322"/>
      <c r="F30" s="322"/>
      <c r="G30" s="322"/>
      <c r="H30" s="322"/>
    </row>
    <row r="31" spans="1:8" s="19" customFormat="1" ht="60" customHeight="1">
      <c r="A31" s="53"/>
      <c r="B31" s="126"/>
      <c r="C31" s="117"/>
      <c r="D31" s="112"/>
      <c r="E31" s="112"/>
      <c r="F31" s="112"/>
      <c r="G31" s="112"/>
      <c r="H31" s="112"/>
    </row>
    <row r="32" spans="1:8" s="19" customFormat="1" ht="15" customHeight="1">
      <c r="A32" s="118"/>
      <c r="B32" s="119"/>
      <c r="C32" s="119"/>
      <c r="D32" s="119"/>
      <c r="E32" s="119"/>
      <c r="F32" s="119"/>
      <c r="G32" s="119"/>
      <c r="H32" s="119"/>
    </row>
    <row r="33" spans="1:8" s="19" customFormat="1" ht="15" customHeight="1">
      <c r="A33" s="53"/>
      <c r="B33" s="112"/>
      <c r="C33" s="112"/>
      <c r="D33" s="113">
        <v>5</v>
      </c>
      <c r="E33" s="113">
        <v>4</v>
      </c>
      <c r="F33" s="113">
        <v>3</v>
      </c>
      <c r="G33" s="113">
        <v>2</v>
      </c>
      <c r="H33" s="113">
        <v>1</v>
      </c>
    </row>
    <row r="34" spans="1:8" s="19" customFormat="1" ht="24.95" customHeight="1">
      <c r="A34" s="114" t="s">
        <v>322</v>
      </c>
      <c r="B34" s="115" t="s">
        <v>297</v>
      </c>
      <c r="C34" s="116"/>
      <c r="D34" s="60"/>
      <c r="E34" s="60"/>
      <c r="F34" s="60"/>
      <c r="G34" s="60"/>
      <c r="H34" s="60"/>
    </row>
    <row r="35" spans="1:8" s="19" customFormat="1" ht="24.95" customHeight="1">
      <c r="A35" s="53"/>
      <c r="B35" s="112" t="s">
        <v>307</v>
      </c>
      <c r="C35" s="112"/>
      <c r="D35" s="322" t="s">
        <v>433</v>
      </c>
      <c r="E35" s="322"/>
      <c r="F35" s="322"/>
      <c r="G35" s="322"/>
      <c r="H35" s="322"/>
    </row>
    <row r="36" spans="1:8" s="19" customFormat="1" ht="60" customHeight="1">
      <c r="A36" s="53"/>
      <c r="B36" s="126"/>
      <c r="C36" s="117"/>
      <c r="D36" s="112"/>
      <c r="E36" s="112"/>
      <c r="F36" s="112"/>
      <c r="G36" s="112"/>
      <c r="H36" s="112"/>
    </row>
    <row r="37" spans="1:8" s="19" customFormat="1" ht="15" customHeight="1">
      <c r="A37" s="118"/>
      <c r="B37" s="119"/>
      <c r="C37" s="119"/>
      <c r="D37" s="119"/>
      <c r="E37" s="119"/>
      <c r="F37" s="119"/>
      <c r="G37" s="119"/>
      <c r="H37" s="119"/>
    </row>
    <row r="38" spans="1:8" s="19" customFormat="1" ht="15" customHeight="1">
      <c r="A38" s="53"/>
      <c r="B38" s="112"/>
      <c r="C38" s="112"/>
      <c r="D38" s="121" t="s">
        <v>237</v>
      </c>
      <c r="E38" s="122"/>
      <c r="F38" s="122"/>
      <c r="G38" s="122"/>
      <c r="H38" s="121" t="s">
        <v>236</v>
      </c>
    </row>
    <row r="39" spans="1:8" s="19" customFormat="1" ht="24.95" customHeight="1">
      <c r="A39" s="114" t="s">
        <v>323</v>
      </c>
      <c r="B39" s="115" t="s">
        <v>303</v>
      </c>
      <c r="C39" s="112"/>
      <c r="D39" s="60"/>
      <c r="E39" s="123"/>
      <c r="F39" s="123"/>
      <c r="G39" s="123"/>
      <c r="H39" s="60"/>
    </row>
    <row r="40" spans="1:8" s="19" customFormat="1" ht="24.95" customHeight="1">
      <c r="A40" s="53"/>
      <c r="B40" s="112" t="s">
        <v>306</v>
      </c>
      <c r="C40" s="112"/>
      <c r="D40" s="322" t="s">
        <v>290</v>
      </c>
      <c r="E40" s="322"/>
      <c r="F40" s="322"/>
      <c r="G40" s="322"/>
      <c r="H40" s="322"/>
    </row>
    <row r="41" spans="1:8" s="19" customFormat="1" ht="60" customHeight="1">
      <c r="A41" s="53"/>
      <c r="B41" s="125"/>
      <c r="C41" s="117"/>
      <c r="D41" s="112"/>
      <c r="E41" s="112"/>
      <c r="F41" s="112"/>
      <c r="G41" s="112"/>
      <c r="H41" s="112"/>
    </row>
    <row r="42" spans="1:8" s="19" customFormat="1" ht="15" customHeight="1">
      <c r="A42" s="118"/>
      <c r="B42" s="120"/>
      <c r="C42" s="119"/>
      <c r="D42" s="119"/>
      <c r="E42" s="119"/>
      <c r="F42" s="119"/>
      <c r="G42" s="119"/>
      <c r="H42" s="119"/>
    </row>
    <row r="43" spans="1:8" s="19" customFormat="1" ht="15" customHeight="1">
      <c r="A43" s="53"/>
      <c r="B43" s="112"/>
      <c r="C43" s="112"/>
      <c r="D43" s="121" t="s">
        <v>237</v>
      </c>
      <c r="E43" s="122"/>
      <c r="F43" s="122"/>
      <c r="G43" s="122"/>
      <c r="H43" s="121" t="s">
        <v>236</v>
      </c>
    </row>
    <row r="44" spans="1:8" s="19" customFormat="1" ht="24.95" customHeight="1">
      <c r="A44" s="114" t="s">
        <v>324</v>
      </c>
      <c r="B44" s="115" t="s">
        <v>304</v>
      </c>
      <c r="C44" s="112"/>
      <c r="D44" s="60"/>
      <c r="E44" s="123"/>
      <c r="F44" s="123"/>
      <c r="G44" s="123"/>
      <c r="H44" s="60"/>
    </row>
    <row r="45" spans="1:8" s="19" customFormat="1" ht="24.95" customHeight="1">
      <c r="A45" s="53"/>
      <c r="B45" s="112" t="s">
        <v>305</v>
      </c>
      <c r="C45" s="112"/>
      <c r="D45" s="322" t="s">
        <v>290</v>
      </c>
      <c r="E45" s="322"/>
      <c r="F45" s="322"/>
      <c r="G45" s="322"/>
      <c r="H45" s="322"/>
    </row>
    <row r="46" spans="1:8" s="19" customFormat="1" ht="60" customHeight="1">
      <c r="A46" s="53"/>
      <c r="B46" s="126"/>
      <c r="C46" s="117"/>
      <c r="D46" s="112"/>
      <c r="E46" s="112"/>
      <c r="F46" s="112"/>
      <c r="G46" s="112"/>
      <c r="H46" s="112"/>
    </row>
    <row r="47" spans="1:8" s="19" customFormat="1" ht="15" customHeight="1">
      <c r="A47" s="118"/>
      <c r="B47" s="120"/>
      <c r="C47" s="119"/>
      <c r="D47" s="119"/>
      <c r="E47" s="119"/>
      <c r="F47" s="119"/>
      <c r="G47" s="119"/>
      <c r="H47" s="119"/>
    </row>
    <row r="48" spans="1:8" s="137" customFormat="1" ht="15" customHeight="1">
      <c r="A48" s="134"/>
      <c r="B48" s="135"/>
      <c r="C48" s="135"/>
      <c r="D48" s="136">
        <v>5</v>
      </c>
      <c r="E48" s="136">
        <v>4</v>
      </c>
      <c r="F48" s="136">
        <v>3</v>
      </c>
      <c r="G48" s="136">
        <v>2</v>
      </c>
      <c r="H48" s="136">
        <v>1</v>
      </c>
    </row>
    <row r="49" spans="1:8" s="137" customFormat="1" ht="24.95" customHeight="1">
      <c r="A49" s="138" t="s">
        <v>349</v>
      </c>
      <c r="B49" s="139" t="s">
        <v>398</v>
      </c>
      <c r="C49" s="135"/>
      <c r="D49" s="60"/>
      <c r="E49" s="60"/>
      <c r="F49" s="60"/>
      <c r="G49" s="60"/>
      <c r="H49" s="60"/>
    </row>
    <row r="50" spans="1:8" s="137" customFormat="1" ht="24.95" customHeight="1">
      <c r="A50" s="134"/>
      <c r="B50" s="135" t="s">
        <v>350</v>
      </c>
      <c r="C50" s="135"/>
      <c r="D50" s="325" t="s">
        <v>435</v>
      </c>
      <c r="E50" s="325"/>
      <c r="F50" s="325"/>
      <c r="G50" s="325"/>
      <c r="H50" s="325"/>
    </row>
    <row r="51" spans="1:8" s="137" customFormat="1" ht="60" customHeight="1">
      <c r="A51" s="134"/>
      <c r="B51" s="126"/>
      <c r="C51" s="135"/>
      <c r="D51" s="135"/>
      <c r="E51" s="135"/>
      <c r="F51" s="135"/>
      <c r="G51" s="135"/>
      <c r="H51" s="135"/>
    </row>
    <row r="52" spans="1:8" s="137" customFormat="1" ht="15" customHeight="1">
      <c r="A52" s="140"/>
      <c r="B52" s="141"/>
      <c r="C52" s="142"/>
      <c r="D52" s="142"/>
      <c r="E52" s="142"/>
      <c r="F52" s="142"/>
      <c r="G52" s="142"/>
      <c r="H52" s="142"/>
    </row>
    <row r="53" spans="1:8" hidden="1">
      <c r="B53" s="124"/>
      <c r="C53" s="124"/>
    </row>
    <row r="54" spans="1:8" hidden="1">
      <c r="B54" s="124"/>
      <c r="C54" s="124"/>
    </row>
    <row r="55" spans="1:8" hidden="1">
      <c r="B55" s="124"/>
      <c r="C55" s="124"/>
    </row>
    <row r="56" spans="1:8" hidden="1">
      <c r="B56" s="124"/>
      <c r="C56" s="124"/>
    </row>
    <row r="57" spans="1:8" hidden="1">
      <c r="B57" s="124"/>
      <c r="C57" s="124"/>
    </row>
    <row r="58" spans="1:8" hidden="1">
      <c r="B58" s="124"/>
      <c r="C58" s="124"/>
    </row>
    <row r="59" spans="1:8" hidden="1">
      <c r="B59" s="124"/>
      <c r="C59" s="124"/>
    </row>
    <row r="60" spans="1:8" hidden="1">
      <c r="B60" s="124"/>
      <c r="C60" s="124"/>
    </row>
    <row r="61" spans="1:8" hidden="1">
      <c r="B61" s="124"/>
      <c r="C61" s="124"/>
    </row>
    <row r="62" spans="1:8" hidden="1">
      <c r="B62" s="124"/>
      <c r="C62" s="124"/>
    </row>
    <row r="63" spans="1:8" hidden="1">
      <c r="B63" s="124"/>
      <c r="C63" s="124"/>
    </row>
    <row r="64" spans="1:8" hidden="1">
      <c r="B64" s="124"/>
      <c r="C64" s="124"/>
    </row>
    <row r="65" spans="2:3" hidden="1">
      <c r="B65" s="124"/>
      <c r="C65" s="124"/>
    </row>
    <row r="66" spans="2:3" hidden="1">
      <c r="B66" s="124"/>
      <c r="C66" s="124"/>
    </row>
    <row r="67" spans="2:3" hidden="1">
      <c r="B67" s="124"/>
      <c r="C67" s="124"/>
    </row>
    <row r="68" spans="2:3" hidden="1">
      <c r="B68" s="124"/>
      <c r="C68" s="124"/>
    </row>
    <row r="69" spans="2:3" hidden="1">
      <c r="B69" s="124"/>
      <c r="C69" s="124"/>
    </row>
    <row r="70" spans="2:3" hidden="1">
      <c r="B70" s="124"/>
      <c r="C70" s="124"/>
    </row>
    <row r="71" spans="2:3" hidden="1">
      <c r="B71" s="124"/>
      <c r="C71" s="124"/>
    </row>
    <row r="72" spans="2:3" hidden="1">
      <c r="B72" s="124"/>
      <c r="C72" s="124"/>
    </row>
    <row r="73" spans="2:3" hidden="1">
      <c r="B73" s="124"/>
      <c r="C73" s="124"/>
    </row>
    <row r="74" spans="2:3" hidden="1">
      <c r="B74" s="124"/>
      <c r="C74" s="124"/>
    </row>
    <row r="75" spans="2:3" hidden="1">
      <c r="B75" s="124"/>
      <c r="C75" s="124"/>
    </row>
    <row r="76" spans="2:3" hidden="1">
      <c r="B76" s="124"/>
      <c r="C76" s="124"/>
    </row>
    <row r="77" spans="2:3" hidden="1">
      <c r="B77" s="124"/>
      <c r="C77" s="124"/>
    </row>
    <row r="78" spans="2:3" hidden="1">
      <c r="B78" s="124"/>
      <c r="C78" s="124"/>
    </row>
  </sheetData>
  <sheetProtection algorithmName="SHA-512" hashValue="I+fXS+E3Jfl5OxcY6eBfQfKeliIn5AS0C3/oZDP7Ya2aRsVXpROjfC9+d7tvTokqYbLnYxPSpzMeSSlCrpEahw==" saltValue="ASpbj0fNLziXdiGee3BLHg==" spinCount="100000" sheet="1" objects="1" scenarios="1"/>
  <mergeCells count="12">
    <mergeCell ref="D50:H50"/>
    <mergeCell ref="D25:H25"/>
    <mergeCell ref="D30:H30"/>
    <mergeCell ref="D45:H45"/>
    <mergeCell ref="D40:H40"/>
    <mergeCell ref="D35:H35"/>
    <mergeCell ref="D20:H20"/>
    <mergeCell ref="D10:H10"/>
    <mergeCell ref="D5:H5"/>
    <mergeCell ref="D2:H2"/>
    <mergeCell ref="A1:H1"/>
    <mergeCell ref="D15:H15"/>
  </mergeCells>
  <phoneticPr fontId="25" type="noConversion"/>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99571-34ED-4E77-973D-53830910234A}">
  <sheetPr>
    <tabColor rgb="FFFF8F8F"/>
    <pageSetUpPr fitToPage="1"/>
  </sheetPr>
  <dimension ref="A1:G5"/>
  <sheetViews>
    <sheetView zoomScaleNormal="100" zoomScaleSheetLayoutView="80" workbookViewId="0">
      <selection activeCell="A2" sqref="A2"/>
    </sheetView>
  </sheetViews>
  <sheetFormatPr baseColWidth="10" defaultColWidth="0" defaultRowHeight="15" zeroHeight="1"/>
  <cols>
    <col min="1" max="1" width="74.7109375" style="52" customWidth="1"/>
    <col min="2" max="2" width="120.7109375" style="52" customWidth="1"/>
    <col min="3" max="3" width="11.42578125" style="59" hidden="1" customWidth="1"/>
    <col min="4" max="5" width="0" style="59" hidden="1" customWidth="1"/>
    <col min="6" max="6" width="11.42578125" style="59" hidden="1" customWidth="1"/>
    <col min="7" max="7" width="0" style="59" hidden="1" customWidth="1"/>
    <col min="8" max="16384" width="11.42578125" style="59" hidden="1"/>
  </cols>
  <sheetData>
    <row r="1" spans="1:3" s="52" customFormat="1" ht="24.95" customHeight="1">
      <c r="A1" s="210" t="s">
        <v>282</v>
      </c>
      <c r="B1" s="211"/>
      <c r="C1" s="51"/>
    </row>
    <row r="2" spans="1:3" s="19" customFormat="1" ht="24.95" customHeight="1">
      <c r="A2" s="58" t="s">
        <v>281</v>
      </c>
      <c r="B2" s="133"/>
      <c r="C2" s="54"/>
    </row>
    <row r="3" spans="1:3" s="19" customFormat="1" ht="24.95" customHeight="1">
      <c r="A3" s="58" t="s">
        <v>283</v>
      </c>
      <c r="B3" s="133"/>
      <c r="C3" s="54"/>
    </row>
    <row r="4" spans="1:3" s="19" customFormat="1" ht="24.95" customHeight="1">
      <c r="A4" s="147" t="s">
        <v>457</v>
      </c>
      <c r="B4" s="133"/>
      <c r="C4" s="54"/>
    </row>
    <row r="5" spans="1:3" s="19" customFormat="1" ht="24.95" customHeight="1">
      <c r="A5" s="147" t="s">
        <v>458</v>
      </c>
      <c r="B5" s="133"/>
      <c r="C5" s="54"/>
    </row>
  </sheetData>
  <sheetProtection algorithmName="SHA-512" hashValue="BWOfjxACmPLlLOHtSM2sdoEcB2HTrn/5CAEFrP0BvhYRvIhPdqCaHLhtSaNcNmZxywSTmxcsSUFKS3WOTEGp8w==" saltValue="eJN+li0tLZ9z2GFSh/X8sA==" spinCount="100000" sheet="1" objects="1" scenarios="1"/>
  <mergeCells count="1">
    <mergeCell ref="A1:B1"/>
  </mergeCells>
  <pageMargins left="0.7" right="0.7" top="0.78740157499999996" bottom="0.78740157499999996" header="0.3" footer="0.3"/>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F7E33-BFEA-4343-9D6C-4CDE44AAC5C6}">
  <sheetPr>
    <tabColor theme="9" tint="0.79998168889431442"/>
    <pageSetUpPr fitToPage="1"/>
  </sheetPr>
  <dimension ref="A1:G79"/>
  <sheetViews>
    <sheetView topLeftCell="A2" zoomScaleNormal="100" zoomScaleSheetLayoutView="80" workbookViewId="0">
      <selection activeCell="D26" sqref="D26"/>
    </sheetView>
  </sheetViews>
  <sheetFormatPr baseColWidth="10" defaultColWidth="0" defaultRowHeight="15" zeroHeight="1"/>
  <cols>
    <col min="1" max="1" width="66.42578125" style="52" bestFit="1" customWidth="1"/>
    <col min="2" max="2" width="20.7109375" style="52" customWidth="1"/>
    <col min="3" max="3" width="15.7109375" style="52" customWidth="1"/>
    <col min="4" max="4" width="12.7109375" style="59" customWidth="1"/>
    <col min="5" max="5" width="75.7109375" style="59" customWidth="1"/>
    <col min="6" max="6" width="11.42578125" style="59" hidden="1" customWidth="1"/>
    <col min="7" max="7" width="0" style="59" hidden="1" customWidth="1"/>
    <col min="8" max="16384" width="11.42578125" style="59" hidden="1"/>
  </cols>
  <sheetData>
    <row r="1" spans="1:6" s="52" customFormat="1" ht="20.100000000000001" hidden="1" customHeight="1">
      <c r="A1" s="51"/>
      <c r="B1" s="51"/>
      <c r="C1" s="51"/>
      <c r="D1" s="51"/>
      <c r="E1" s="51"/>
      <c r="F1" s="51"/>
    </row>
    <row r="2" spans="1:6" s="52" customFormat="1" ht="20.100000000000001" customHeight="1">
      <c r="A2" s="210" t="s">
        <v>168</v>
      </c>
      <c r="B2" s="211"/>
      <c r="C2" s="211"/>
      <c r="D2" s="211"/>
      <c r="E2" s="212"/>
      <c r="F2" s="51"/>
    </row>
    <row r="3" spans="1:6" s="42" customFormat="1" ht="20.100000000000001" customHeight="1">
      <c r="A3" s="199" t="s">
        <v>36</v>
      </c>
      <c r="B3" s="199" t="s">
        <v>38</v>
      </c>
      <c r="C3" s="199" t="s">
        <v>68</v>
      </c>
      <c r="D3" s="199" t="s">
        <v>71</v>
      </c>
      <c r="E3" s="199" t="s">
        <v>72</v>
      </c>
      <c r="F3" s="53"/>
    </row>
    <row r="4" spans="1:6" s="19" customFormat="1" ht="20.100000000000001" customHeight="1">
      <c r="A4" s="213" t="s">
        <v>91</v>
      </c>
      <c r="B4" s="214"/>
      <c r="C4" s="214"/>
      <c r="D4" s="214"/>
      <c r="E4" s="215"/>
      <c r="F4" s="54"/>
    </row>
    <row r="5" spans="1:6" s="19" customFormat="1" ht="20.100000000000001" customHeight="1">
      <c r="A5" s="55" t="s">
        <v>12</v>
      </c>
      <c r="B5" s="56"/>
      <c r="C5" s="61" t="s">
        <v>21</v>
      </c>
      <c r="D5" s="57" t="s">
        <v>70</v>
      </c>
      <c r="E5" s="55"/>
      <c r="F5" s="54"/>
    </row>
    <row r="6" spans="1:6" s="19" customFormat="1" ht="20.100000000000001" customHeight="1">
      <c r="A6" s="55" t="s">
        <v>198</v>
      </c>
      <c r="B6" s="56"/>
      <c r="C6" s="61" t="s">
        <v>20</v>
      </c>
      <c r="D6" s="57" t="s">
        <v>70</v>
      </c>
      <c r="E6" s="55" t="s">
        <v>409</v>
      </c>
      <c r="F6" s="54"/>
    </row>
    <row r="7" spans="1:6" s="19" customFormat="1" ht="20.100000000000001" customHeight="1">
      <c r="A7" s="55" t="s">
        <v>15</v>
      </c>
      <c r="B7" s="55"/>
      <c r="C7" s="61" t="s">
        <v>474</v>
      </c>
      <c r="D7" s="57" t="s">
        <v>70</v>
      </c>
      <c r="E7" s="55" t="s">
        <v>376</v>
      </c>
      <c r="F7" s="54"/>
    </row>
    <row r="8" spans="1:6" s="19" customFormat="1" ht="20.100000000000001" customHeight="1">
      <c r="A8" s="55" t="s">
        <v>202</v>
      </c>
      <c r="B8" s="56"/>
      <c r="C8" s="216"/>
      <c r="D8" s="216"/>
      <c r="E8" s="216"/>
      <c r="F8" s="54"/>
    </row>
    <row r="9" spans="1:6" s="19" customFormat="1" ht="20.100000000000001" customHeight="1">
      <c r="A9" s="58" t="s">
        <v>86</v>
      </c>
      <c r="B9" s="56" t="s">
        <v>87</v>
      </c>
      <c r="C9" s="61" t="s">
        <v>20</v>
      </c>
      <c r="D9" s="57" t="s">
        <v>70</v>
      </c>
      <c r="E9" s="55" t="s">
        <v>337</v>
      </c>
      <c r="F9" s="54"/>
    </row>
    <row r="10" spans="1:6" s="19" customFormat="1" ht="20.100000000000001" customHeight="1">
      <c r="A10" s="55" t="s">
        <v>76</v>
      </c>
      <c r="B10" s="56" t="s">
        <v>6</v>
      </c>
      <c r="C10" s="60"/>
      <c r="D10" s="57" t="s">
        <v>70</v>
      </c>
      <c r="E10" s="55" t="s">
        <v>189</v>
      </c>
      <c r="F10" s="54"/>
    </row>
    <row r="11" spans="1:6" s="19" customFormat="1" ht="20.100000000000001" customHeight="1">
      <c r="A11" s="55" t="s">
        <v>191</v>
      </c>
      <c r="B11" s="56" t="s">
        <v>3</v>
      </c>
      <c r="C11" s="60"/>
      <c r="D11" s="57" t="s">
        <v>70</v>
      </c>
      <c r="E11" s="55" t="s">
        <v>190</v>
      </c>
      <c r="F11" s="54"/>
    </row>
    <row r="12" spans="1:6" s="19" customFormat="1" ht="20.100000000000001" customHeight="1">
      <c r="A12" s="55" t="s">
        <v>374</v>
      </c>
      <c r="B12" s="56" t="s">
        <v>11</v>
      </c>
      <c r="C12" s="61" t="s">
        <v>20</v>
      </c>
      <c r="D12" s="57" t="s">
        <v>70</v>
      </c>
      <c r="E12" s="55" t="s">
        <v>375</v>
      </c>
      <c r="F12" s="54"/>
    </row>
    <row r="13" spans="1:6" s="19" customFormat="1" ht="20.100000000000001" customHeight="1">
      <c r="A13" s="55" t="s">
        <v>90</v>
      </c>
      <c r="B13" s="56" t="s">
        <v>11</v>
      </c>
      <c r="C13" s="61" t="s">
        <v>20</v>
      </c>
      <c r="D13" s="57" t="s">
        <v>70</v>
      </c>
      <c r="E13" s="55"/>
      <c r="F13" s="54"/>
    </row>
    <row r="14" spans="1:6" s="19" customFormat="1" ht="20.100000000000001" customHeight="1">
      <c r="A14" s="55" t="s">
        <v>378</v>
      </c>
      <c r="B14" s="56" t="s">
        <v>11</v>
      </c>
      <c r="C14" s="61" t="s">
        <v>23</v>
      </c>
      <c r="D14" s="57" t="s">
        <v>70</v>
      </c>
      <c r="E14" s="55" t="s">
        <v>192</v>
      </c>
      <c r="F14" s="54"/>
    </row>
    <row r="15" spans="1:6" s="19" customFormat="1" ht="20.100000000000001" customHeight="1">
      <c r="A15" s="58" t="s">
        <v>199</v>
      </c>
      <c r="B15" s="56" t="s">
        <v>7</v>
      </c>
      <c r="C15" s="60"/>
      <c r="D15" s="57" t="s">
        <v>70</v>
      </c>
      <c r="E15" s="55"/>
      <c r="F15" s="54"/>
    </row>
    <row r="16" spans="1:6" s="19" customFormat="1" ht="19.5" customHeight="1">
      <c r="A16" s="58" t="s">
        <v>13</v>
      </c>
      <c r="B16" s="56" t="s">
        <v>7</v>
      </c>
      <c r="C16" s="60"/>
      <c r="D16" s="57" t="s">
        <v>70</v>
      </c>
      <c r="E16" s="55"/>
      <c r="F16" s="54"/>
    </row>
    <row r="17" spans="1:6" s="19" customFormat="1" ht="19.5" customHeight="1">
      <c r="A17" s="55" t="s">
        <v>0</v>
      </c>
      <c r="B17" s="56" t="s">
        <v>2</v>
      </c>
      <c r="C17" s="60"/>
      <c r="D17" s="57" t="s">
        <v>70</v>
      </c>
      <c r="E17" s="55" t="s">
        <v>200</v>
      </c>
      <c r="F17" s="54"/>
    </row>
    <row r="18" spans="1:6" s="19" customFormat="1" ht="20.100000000000001" customHeight="1">
      <c r="A18" s="55" t="s">
        <v>193</v>
      </c>
      <c r="B18" s="56" t="s">
        <v>8</v>
      </c>
      <c r="C18" s="60"/>
      <c r="D18" s="57" t="s">
        <v>70</v>
      </c>
      <c r="E18" s="163" t="s">
        <v>201</v>
      </c>
      <c r="F18" s="54"/>
    </row>
    <row r="19" spans="1:6" s="19" customFormat="1" ht="20.100000000000001" customHeight="1">
      <c r="A19" s="55" t="s">
        <v>77</v>
      </c>
      <c r="B19" s="56" t="s">
        <v>9</v>
      </c>
      <c r="C19" s="61" t="s">
        <v>22</v>
      </c>
      <c r="D19" s="57" t="s">
        <v>70</v>
      </c>
      <c r="E19" s="163" t="s">
        <v>410</v>
      </c>
      <c r="F19" s="54"/>
    </row>
    <row r="20" spans="1:6" s="19" customFormat="1" ht="20.100000000000001" customHeight="1">
      <c r="A20" s="213" t="s">
        <v>92</v>
      </c>
      <c r="B20" s="214"/>
      <c r="C20" s="214"/>
      <c r="D20" s="214"/>
      <c r="E20" s="215"/>
      <c r="F20" s="54"/>
    </row>
    <row r="21" spans="1:6" s="19" customFormat="1" ht="20.100000000000001" customHeight="1">
      <c r="A21" s="55" t="s">
        <v>78</v>
      </c>
      <c r="B21" s="56"/>
      <c r="C21" s="61" t="s">
        <v>468</v>
      </c>
      <c r="D21" s="57" t="s">
        <v>70</v>
      </c>
      <c r="E21" s="55" t="s">
        <v>203</v>
      </c>
      <c r="F21" s="54"/>
    </row>
    <row r="22" spans="1:6" s="19" customFormat="1" ht="20.100000000000001" customHeight="1">
      <c r="A22" s="55" t="s">
        <v>202</v>
      </c>
      <c r="B22" s="56"/>
      <c r="C22" s="216"/>
      <c r="D22" s="216"/>
      <c r="E22" s="216"/>
      <c r="F22" s="54"/>
    </row>
    <row r="23" spans="1:6" s="19" customFormat="1" ht="20.100000000000001" customHeight="1">
      <c r="A23" s="55" t="s">
        <v>79</v>
      </c>
      <c r="B23" s="56"/>
      <c r="C23" s="131">
        <v>1</v>
      </c>
      <c r="D23" s="57" t="s">
        <v>70</v>
      </c>
      <c r="E23" s="55" t="s">
        <v>412</v>
      </c>
      <c r="F23" s="54"/>
    </row>
    <row r="24" spans="1:6" s="19" customFormat="1" ht="20.100000000000001" customHeight="1">
      <c r="A24" s="58" t="s">
        <v>484</v>
      </c>
      <c r="B24" s="95" t="s">
        <v>74</v>
      </c>
      <c r="C24" s="97"/>
      <c r="D24" s="64" t="s">
        <v>407</v>
      </c>
      <c r="E24" s="55" t="s">
        <v>483</v>
      </c>
      <c r="F24" s="54"/>
    </row>
    <row r="25" spans="1:6" s="19" customFormat="1" ht="20.100000000000001" customHeight="1">
      <c r="A25" s="58" t="s">
        <v>485</v>
      </c>
      <c r="B25" s="95" t="s">
        <v>74</v>
      </c>
      <c r="C25" s="97"/>
      <c r="D25" s="64" t="s">
        <v>407</v>
      </c>
      <c r="E25" s="55" t="s">
        <v>483</v>
      </c>
      <c r="F25" s="54"/>
    </row>
    <row r="26" spans="1:6" s="19" customFormat="1" ht="20.100000000000001" customHeight="1">
      <c r="A26" s="58" t="s">
        <v>486</v>
      </c>
      <c r="B26" s="95" t="s">
        <v>74</v>
      </c>
      <c r="C26" s="97"/>
      <c r="D26" s="64" t="s">
        <v>407</v>
      </c>
      <c r="E26" s="55" t="s">
        <v>483</v>
      </c>
      <c r="F26" s="54"/>
    </row>
    <row r="27" spans="1:6" s="19" customFormat="1" ht="20.100000000000001" customHeight="1">
      <c r="A27" s="58" t="s">
        <v>487</v>
      </c>
      <c r="B27" s="95" t="s">
        <v>74</v>
      </c>
      <c r="C27" s="97"/>
      <c r="D27" s="64" t="s">
        <v>407</v>
      </c>
      <c r="E27" s="55" t="s">
        <v>483</v>
      </c>
      <c r="F27" s="54"/>
    </row>
    <row r="28" spans="1:6" s="19" customFormat="1" ht="20.100000000000001" customHeight="1">
      <c r="A28" s="58" t="s">
        <v>488</v>
      </c>
      <c r="B28" s="95" t="s">
        <v>74</v>
      </c>
      <c r="C28" s="97"/>
      <c r="D28" s="64" t="s">
        <v>407</v>
      </c>
      <c r="E28" s="55" t="s">
        <v>483</v>
      </c>
      <c r="F28" s="54"/>
    </row>
    <row r="29" spans="1:6" s="19" customFormat="1" ht="20.100000000000001" customHeight="1">
      <c r="A29" s="58" t="s">
        <v>489</v>
      </c>
      <c r="B29" s="95" t="s">
        <v>74</v>
      </c>
      <c r="C29" s="97"/>
      <c r="D29" s="64" t="s">
        <v>407</v>
      </c>
      <c r="E29" s="55" t="s">
        <v>483</v>
      </c>
      <c r="F29" s="54"/>
    </row>
    <row r="30" spans="1:6" s="19" customFormat="1" ht="20.100000000000001" customHeight="1">
      <c r="A30" s="58" t="s">
        <v>490</v>
      </c>
      <c r="B30" s="95" t="s">
        <v>74</v>
      </c>
      <c r="C30" s="97"/>
      <c r="D30" s="64" t="s">
        <v>407</v>
      </c>
      <c r="E30" s="55" t="s">
        <v>483</v>
      </c>
      <c r="F30" s="54"/>
    </row>
    <row r="31" spans="1:6" s="19" customFormat="1" ht="20.100000000000001" customHeight="1">
      <c r="A31" s="58" t="s">
        <v>491</v>
      </c>
      <c r="B31" s="95" t="s">
        <v>74</v>
      </c>
      <c r="C31" s="97"/>
      <c r="D31" s="64" t="s">
        <v>407</v>
      </c>
      <c r="E31" s="55" t="s">
        <v>483</v>
      </c>
      <c r="F31" s="54"/>
    </row>
    <row r="32" spans="1:6" s="19" customFormat="1" ht="20.100000000000001" customHeight="1">
      <c r="A32" s="58" t="s">
        <v>492</v>
      </c>
      <c r="B32" s="95" t="s">
        <v>74</v>
      </c>
      <c r="C32" s="97"/>
      <c r="D32" s="64" t="s">
        <v>407</v>
      </c>
      <c r="E32" s="55" t="s">
        <v>483</v>
      </c>
      <c r="F32" s="54"/>
    </row>
    <row r="33" spans="1:6" s="19" customFormat="1" ht="20.100000000000001" customHeight="1">
      <c r="A33" s="58" t="s">
        <v>493</v>
      </c>
      <c r="B33" s="95" t="s">
        <v>74</v>
      </c>
      <c r="C33" s="97"/>
      <c r="D33" s="64" t="s">
        <v>407</v>
      </c>
      <c r="E33" s="55" t="s">
        <v>483</v>
      </c>
      <c r="F33" s="54"/>
    </row>
    <row r="34" spans="1:6" s="19" customFormat="1" ht="20.100000000000001" customHeight="1">
      <c r="A34" s="213" t="s">
        <v>80</v>
      </c>
      <c r="B34" s="214"/>
      <c r="C34" s="214"/>
      <c r="D34" s="214"/>
      <c r="E34" s="215"/>
      <c r="F34" s="54"/>
    </row>
    <row r="35" spans="1:6" s="19" customFormat="1" ht="20.100000000000001" customHeight="1">
      <c r="A35" s="58" t="s">
        <v>205</v>
      </c>
      <c r="B35" s="56" t="s">
        <v>399</v>
      </c>
      <c r="C35" s="61" t="s">
        <v>206</v>
      </c>
      <c r="D35" s="57" t="s">
        <v>70</v>
      </c>
      <c r="E35" s="55" t="s">
        <v>413</v>
      </c>
      <c r="F35" s="54"/>
    </row>
    <row r="36" spans="1:6" s="19" customFormat="1" ht="20.100000000000001" customHeight="1">
      <c r="A36" s="58" t="s">
        <v>89</v>
      </c>
      <c r="B36" s="56"/>
      <c r="C36" s="61" t="s">
        <v>204</v>
      </c>
      <c r="D36" s="57" t="s">
        <v>70</v>
      </c>
      <c r="E36" s="55" t="s">
        <v>203</v>
      </c>
      <c r="F36" s="54"/>
    </row>
    <row r="37" spans="1:6" s="19" customFormat="1" ht="20.100000000000001" customHeight="1">
      <c r="A37" s="55" t="s">
        <v>202</v>
      </c>
      <c r="B37" s="56"/>
      <c r="C37" s="216"/>
      <c r="D37" s="216"/>
      <c r="E37" s="216"/>
      <c r="F37" s="54"/>
    </row>
    <row r="38" spans="1:6" s="19" customFormat="1" ht="20.100000000000001" customHeight="1">
      <c r="A38" s="58" t="s">
        <v>208</v>
      </c>
      <c r="B38" s="56"/>
      <c r="C38" s="61" t="s">
        <v>20</v>
      </c>
      <c r="D38" s="64" t="s">
        <v>407</v>
      </c>
      <c r="E38" s="55" t="s">
        <v>207</v>
      </c>
      <c r="F38" s="54"/>
    </row>
    <row r="39" spans="1:6" s="19" customFormat="1" ht="20.100000000000001" customHeight="1">
      <c r="A39" s="58" t="s">
        <v>209</v>
      </c>
      <c r="B39" s="56"/>
      <c r="C39" s="61" t="s">
        <v>20</v>
      </c>
      <c r="D39" s="64" t="s">
        <v>407</v>
      </c>
      <c r="E39" s="55" t="s">
        <v>207</v>
      </c>
      <c r="F39" s="54"/>
    </row>
    <row r="40" spans="1:6" s="19" customFormat="1" ht="20.100000000000001" customHeight="1">
      <c r="A40" s="58" t="s">
        <v>214</v>
      </c>
      <c r="B40" s="56"/>
      <c r="C40" s="61" t="s">
        <v>20</v>
      </c>
      <c r="D40" s="64" t="s">
        <v>407</v>
      </c>
      <c r="E40" s="55" t="s">
        <v>207</v>
      </c>
      <c r="F40" s="54"/>
    </row>
    <row r="41" spans="1:6" s="19" customFormat="1" ht="20.100000000000001" customHeight="1">
      <c r="A41" s="58" t="s">
        <v>211</v>
      </c>
      <c r="B41" s="56"/>
      <c r="C41" s="61" t="s">
        <v>20</v>
      </c>
      <c r="D41" s="64" t="s">
        <v>407</v>
      </c>
      <c r="E41" s="55" t="s">
        <v>207</v>
      </c>
      <c r="F41" s="54"/>
    </row>
    <row r="42" spans="1:6" s="19" customFormat="1" ht="20.100000000000001" customHeight="1">
      <c r="A42" s="58" t="s">
        <v>210</v>
      </c>
      <c r="B42" s="56"/>
      <c r="C42" s="61" t="s">
        <v>20</v>
      </c>
      <c r="D42" s="64" t="s">
        <v>407</v>
      </c>
      <c r="E42" s="55" t="s">
        <v>207</v>
      </c>
      <c r="F42" s="54"/>
    </row>
    <row r="43" spans="1:6" s="19" customFormat="1" ht="20.100000000000001" customHeight="1">
      <c r="A43" s="58" t="s">
        <v>414</v>
      </c>
      <c r="B43" s="56"/>
      <c r="C43" s="61" t="s">
        <v>20</v>
      </c>
      <c r="D43" s="64" t="s">
        <v>407</v>
      </c>
      <c r="E43" s="55" t="s">
        <v>207</v>
      </c>
      <c r="F43" s="54"/>
    </row>
    <row r="44" spans="1:6" s="19" customFormat="1" ht="20.100000000000001" customHeight="1">
      <c r="A44" s="58" t="s">
        <v>212</v>
      </c>
      <c r="B44" s="56"/>
      <c r="C44" s="61" t="s">
        <v>20</v>
      </c>
      <c r="D44" s="64" t="s">
        <v>407</v>
      </c>
      <c r="E44" s="55" t="s">
        <v>207</v>
      </c>
      <c r="F44" s="54"/>
    </row>
    <row r="45" spans="1:6" s="19" customFormat="1" ht="20.100000000000001" customHeight="1">
      <c r="A45" s="58" t="s">
        <v>213</v>
      </c>
      <c r="B45" s="56"/>
      <c r="C45" s="61" t="s">
        <v>20</v>
      </c>
      <c r="D45" s="64" t="s">
        <v>407</v>
      </c>
      <c r="E45" s="55" t="s">
        <v>207</v>
      </c>
      <c r="F45" s="54"/>
    </row>
    <row r="46" spans="1:6" s="19" customFormat="1" ht="20.100000000000001" customHeight="1">
      <c r="A46" s="213" t="s">
        <v>81</v>
      </c>
      <c r="B46" s="214"/>
      <c r="C46" s="214"/>
      <c r="D46" s="214"/>
      <c r="E46" s="215"/>
      <c r="F46" s="54"/>
    </row>
    <row r="47" spans="1:6" s="19" customFormat="1" ht="20.100000000000001" customHeight="1">
      <c r="A47" s="58" t="s">
        <v>16</v>
      </c>
      <c r="B47" s="56" t="s">
        <v>195</v>
      </c>
      <c r="C47" s="60"/>
      <c r="D47" s="57" t="s">
        <v>70</v>
      </c>
      <c r="E47" s="55" t="s">
        <v>252</v>
      </c>
      <c r="F47" s="54"/>
    </row>
    <row r="48" spans="1:6" s="19" customFormat="1" ht="20.100000000000001" customHeight="1">
      <c r="A48" s="58" t="s">
        <v>194</v>
      </c>
      <c r="B48" s="56" t="s">
        <v>196</v>
      </c>
      <c r="C48" s="60"/>
      <c r="D48" s="57" t="s">
        <v>70</v>
      </c>
      <c r="E48" s="55" t="s">
        <v>252</v>
      </c>
      <c r="F48" s="54"/>
    </row>
    <row r="49" spans="1:6" s="19" customFormat="1" ht="20.100000000000001" customHeight="1">
      <c r="A49" s="58" t="s">
        <v>18</v>
      </c>
      <c r="B49" s="56" t="s">
        <v>197</v>
      </c>
      <c r="C49" s="60"/>
      <c r="D49" s="57" t="s">
        <v>70</v>
      </c>
      <c r="E49" s="55" t="s">
        <v>253</v>
      </c>
      <c r="F49" s="54"/>
    </row>
    <row r="50" spans="1:6" s="19" customFormat="1" ht="20.100000000000001" customHeight="1">
      <c r="A50" s="58" t="s">
        <v>83</v>
      </c>
      <c r="B50" s="56"/>
      <c r="C50" s="60"/>
      <c r="D50" s="57" t="s">
        <v>70</v>
      </c>
      <c r="E50" s="55" t="s">
        <v>377</v>
      </c>
      <c r="F50" s="54"/>
    </row>
    <row r="51" spans="1:6" s="19" customFormat="1" ht="20.100000000000001" customHeight="1">
      <c r="A51" s="58" t="s">
        <v>82</v>
      </c>
      <c r="B51" s="56"/>
      <c r="C51" s="60"/>
      <c r="D51" s="57" t="s">
        <v>70</v>
      </c>
      <c r="E51" s="55" t="s">
        <v>252</v>
      </c>
      <c r="F51" s="54"/>
    </row>
    <row r="52" spans="1:6" s="19" customFormat="1" ht="20.100000000000001" customHeight="1">
      <c r="A52" s="213" t="s">
        <v>19</v>
      </c>
      <c r="B52" s="214"/>
      <c r="C52" s="214"/>
      <c r="D52" s="214"/>
      <c r="E52" s="215"/>
      <c r="F52" s="54"/>
    </row>
    <row r="53" spans="1:6" s="19" customFormat="1" ht="20.100000000000001" customHeight="1">
      <c r="A53" s="58" t="s">
        <v>16</v>
      </c>
      <c r="B53" s="56" t="s">
        <v>195</v>
      </c>
      <c r="C53" s="60"/>
      <c r="D53" s="57" t="s">
        <v>70</v>
      </c>
      <c r="E53" s="55" t="s">
        <v>252</v>
      </c>
      <c r="F53" s="54"/>
    </row>
    <row r="54" spans="1:6" s="19" customFormat="1" ht="20.100000000000001" customHeight="1">
      <c r="A54" s="58" t="s">
        <v>17</v>
      </c>
      <c r="B54" s="56" t="s">
        <v>196</v>
      </c>
      <c r="C54" s="60"/>
      <c r="D54" s="57" t="s">
        <v>70</v>
      </c>
      <c r="E54" s="55" t="s">
        <v>252</v>
      </c>
      <c r="F54" s="54"/>
    </row>
    <row r="55" spans="1:6" s="19" customFormat="1" ht="20.100000000000001" customHeight="1">
      <c r="A55" s="58" t="s">
        <v>18</v>
      </c>
      <c r="B55" s="56" t="s">
        <v>197</v>
      </c>
      <c r="C55" s="60"/>
      <c r="D55" s="57" t="s">
        <v>70</v>
      </c>
      <c r="E55" s="55" t="s">
        <v>253</v>
      </c>
      <c r="F55" s="54"/>
    </row>
    <row r="56" spans="1:6" s="19" customFormat="1" ht="20.100000000000001" customHeight="1">
      <c r="A56" s="58" t="s">
        <v>83</v>
      </c>
      <c r="B56" s="56"/>
      <c r="C56" s="60"/>
      <c r="D56" s="57" t="s">
        <v>70</v>
      </c>
      <c r="E56" s="55" t="s">
        <v>252</v>
      </c>
      <c r="F56" s="54"/>
    </row>
    <row r="57" spans="1:6" s="19" customFormat="1" ht="20.100000000000001" customHeight="1">
      <c r="A57" s="58" t="s">
        <v>82</v>
      </c>
      <c r="B57" s="56"/>
      <c r="C57" s="60"/>
      <c r="D57" s="57" t="s">
        <v>70</v>
      </c>
      <c r="E57" s="55" t="s">
        <v>252</v>
      </c>
      <c r="F57" s="54"/>
    </row>
    <row r="58" spans="1:6" s="19" customFormat="1" ht="20.100000000000001" customHeight="1">
      <c r="A58" s="58" t="s">
        <v>254</v>
      </c>
      <c r="B58" s="56"/>
      <c r="C58" s="61" t="s">
        <v>20</v>
      </c>
      <c r="D58" s="57" t="s">
        <v>70</v>
      </c>
      <c r="E58" s="55" t="s">
        <v>252</v>
      </c>
      <c r="F58" s="54"/>
    </row>
    <row r="59" spans="1:6" s="19" customFormat="1" ht="20.100000000000001" customHeight="1">
      <c r="A59" s="213" t="s">
        <v>411</v>
      </c>
      <c r="B59" s="214"/>
      <c r="C59" s="214"/>
      <c r="D59" s="214"/>
      <c r="E59" s="215"/>
      <c r="F59" s="54"/>
    </row>
    <row r="60" spans="1:6" s="19" customFormat="1" ht="20.100000000000001" customHeight="1">
      <c r="A60" s="56">
        <v>1</v>
      </c>
      <c r="B60" s="56" t="s">
        <v>74</v>
      </c>
      <c r="C60" s="198"/>
      <c r="D60" s="64" t="s">
        <v>407</v>
      </c>
      <c r="E60" s="55" t="s">
        <v>216</v>
      </c>
      <c r="F60" s="54"/>
    </row>
    <row r="61" spans="1:6" s="19" customFormat="1" ht="20.100000000000001" customHeight="1">
      <c r="A61" s="56">
        <v>2</v>
      </c>
      <c r="B61" s="56" t="s">
        <v>74</v>
      </c>
      <c r="C61" s="198"/>
      <c r="D61" s="64" t="s">
        <v>407</v>
      </c>
      <c r="E61" s="55" t="s">
        <v>216</v>
      </c>
      <c r="F61" s="54"/>
    </row>
    <row r="62" spans="1:6" s="19" customFormat="1" ht="20.100000000000001" customHeight="1">
      <c r="A62" s="56">
        <v>3</v>
      </c>
      <c r="B62" s="56" t="s">
        <v>74</v>
      </c>
      <c r="C62" s="198"/>
      <c r="D62" s="64" t="s">
        <v>407</v>
      </c>
      <c r="E62" s="55" t="s">
        <v>216</v>
      </c>
      <c r="F62" s="54"/>
    </row>
    <row r="63" spans="1:6" s="19" customFormat="1" ht="20.100000000000001" customHeight="1">
      <c r="A63" s="56">
        <v>4</v>
      </c>
      <c r="B63" s="56" t="s">
        <v>74</v>
      </c>
      <c r="C63" s="198"/>
      <c r="D63" s="64" t="s">
        <v>407</v>
      </c>
      <c r="E63" s="55" t="s">
        <v>216</v>
      </c>
      <c r="F63" s="54"/>
    </row>
    <row r="64" spans="1:6" s="19" customFormat="1" ht="20.100000000000001" customHeight="1">
      <c r="A64" s="56">
        <v>5</v>
      </c>
      <c r="B64" s="56" t="s">
        <v>74</v>
      </c>
      <c r="C64" s="198"/>
      <c r="D64" s="64" t="s">
        <v>407</v>
      </c>
      <c r="E64" s="55" t="s">
        <v>216</v>
      </c>
      <c r="F64" s="54"/>
    </row>
    <row r="65" spans="1:6" s="19" customFormat="1" ht="20.100000000000001" customHeight="1">
      <c r="A65" s="56">
        <v>6</v>
      </c>
      <c r="B65" s="56" t="s">
        <v>74</v>
      </c>
      <c r="C65" s="198"/>
      <c r="D65" s="64" t="s">
        <v>407</v>
      </c>
      <c r="E65" s="55" t="s">
        <v>216</v>
      </c>
      <c r="F65" s="54"/>
    </row>
    <row r="66" spans="1:6" s="19" customFormat="1" ht="20.100000000000001" customHeight="1">
      <c r="A66" s="56">
        <v>7</v>
      </c>
      <c r="B66" s="56" t="s">
        <v>74</v>
      </c>
      <c r="C66" s="198"/>
      <c r="D66" s="64" t="s">
        <v>407</v>
      </c>
      <c r="E66" s="55" t="s">
        <v>216</v>
      </c>
      <c r="F66" s="54"/>
    </row>
    <row r="67" spans="1:6" s="19" customFormat="1" ht="20.100000000000001" customHeight="1">
      <c r="A67" s="56">
        <v>8</v>
      </c>
      <c r="B67" s="56" t="s">
        <v>74</v>
      </c>
      <c r="C67" s="198"/>
      <c r="D67" s="64" t="s">
        <v>407</v>
      </c>
      <c r="E67" s="55" t="s">
        <v>216</v>
      </c>
      <c r="F67" s="54"/>
    </row>
    <row r="68" spans="1:6" s="19" customFormat="1" ht="20.100000000000001" customHeight="1">
      <c r="A68" s="56">
        <v>9</v>
      </c>
      <c r="B68" s="56" t="s">
        <v>74</v>
      </c>
      <c r="C68" s="198"/>
      <c r="D68" s="64" t="s">
        <v>407</v>
      </c>
      <c r="E68" s="55" t="s">
        <v>216</v>
      </c>
      <c r="F68" s="54"/>
    </row>
    <row r="69" spans="1:6" s="19" customFormat="1" ht="20.100000000000001" customHeight="1">
      <c r="A69" s="56">
        <v>10</v>
      </c>
      <c r="B69" s="56" t="s">
        <v>74</v>
      </c>
      <c r="C69" s="198"/>
      <c r="D69" s="64" t="s">
        <v>407</v>
      </c>
      <c r="E69" s="55" t="s">
        <v>216</v>
      </c>
      <c r="F69" s="54"/>
    </row>
    <row r="70" spans="1:6" s="19" customFormat="1" ht="20.100000000000001" hidden="1" customHeight="1">
      <c r="A70" s="53"/>
      <c r="B70" s="53"/>
      <c r="C70" s="53"/>
      <c r="D70" s="54"/>
      <c r="E70" s="54"/>
      <c r="F70" s="54"/>
    </row>
    <row r="71" spans="1:6" ht="20.100000000000001" hidden="1" customHeight="1"/>
    <row r="72" spans="1:6" ht="20.100000000000001" hidden="1" customHeight="1"/>
    <row r="73" spans="1:6" s="19" customFormat="1" ht="20.100000000000001" hidden="1" customHeight="1"/>
    <row r="74" spans="1:6" ht="20.100000000000001" hidden="1" customHeight="1"/>
    <row r="75" spans="1:6" ht="20.100000000000001" hidden="1" customHeight="1"/>
    <row r="76" spans="1:6" ht="20.100000000000001" hidden="1" customHeight="1"/>
    <row r="77" spans="1:6" ht="20.100000000000001" hidden="1" customHeight="1"/>
    <row r="78" spans="1:6" s="19" customFormat="1" ht="20.100000000000001" hidden="1" customHeight="1"/>
    <row r="79" spans="1:6"/>
  </sheetData>
  <sheetProtection algorithmName="SHA-512" hashValue="olMIlUt043qmc+3lRd0/DppIcOaCK2wJ3j+A/tvyo+mk2QQ4zpx7SrZNBvQ2D6lXwjLmriBuS66JidQkMQAzAg==" saltValue="yjzvdP4bu7EjKoUm/HQovA==" spinCount="100000" sheet="1" objects="1" scenarios="1"/>
  <customSheetViews>
    <customSheetView guid="{C0223898-2DB3-485F-A6E2-8575C6691491}" scale="90" showPageBreaks="1" fitToPage="1" printArea="1">
      <selection activeCell="H14" sqref="H14"/>
      <pageMargins left="0.7" right="0.7" top="0.78740157499999996" bottom="0.78740157499999996" header="0.3" footer="0.3"/>
      <pageSetup paperSize="9" scale="55" orientation="landscape" r:id="rId1"/>
    </customSheetView>
  </customSheetViews>
  <mergeCells count="10">
    <mergeCell ref="A2:E2"/>
    <mergeCell ref="A59:E59"/>
    <mergeCell ref="A34:E34"/>
    <mergeCell ref="A46:E46"/>
    <mergeCell ref="A52:E52"/>
    <mergeCell ref="A4:E4"/>
    <mergeCell ref="A20:E20"/>
    <mergeCell ref="C22:E22"/>
    <mergeCell ref="C8:E8"/>
    <mergeCell ref="C37:E37"/>
  </mergeCells>
  <phoneticPr fontId="25" type="noConversion"/>
  <dataValidations disablePrompts="1" count="9">
    <dataValidation type="list" allowBlank="1" showInputMessage="1" showErrorMessage="1" sqref="C7" xr:uid="{CD492E35-9C20-4FE3-977D-89F59B617387}">
      <formula1>"ICE,HEV (NO AVAS),HEV (AVAS/SES),EV (AVAS),EV (AVAS/SES),OTHER"</formula1>
    </dataValidation>
    <dataValidation type="list" allowBlank="1" showInputMessage="1" showErrorMessage="1" sqref="C9" xr:uid="{2885F390-BECA-4234-9F6C-0B7CDF31166E}">
      <formula1>"S,P,N"</formula1>
    </dataValidation>
    <dataValidation type="list" allowBlank="1" showInputMessage="1" showErrorMessage="1" sqref="C19" xr:uid="{820A6CD0-2827-4BAC-9691-3AEFF2D1D7EF}">
      <formula1>"F,M,R"</formula1>
    </dataValidation>
    <dataValidation type="list" allowBlank="1" showInputMessage="1" showErrorMessage="1" sqref="C12:C14 C6 C38:C45 C58" xr:uid="{0D63AC14-9457-4A0E-97F0-208073C100E2}">
      <formula1>"Y,N"</formula1>
    </dataValidation>
    <dataValidation type="list" allowBlank="1" showInputMessage="1" showErrorMessage="1" sqref="C21" xr:uid="{2E97C67B-EDD2-4991-924F-4588FED24627}">
      <formula1>"AT,MT,CVT,OTHER,NONE"</formula1>
    </dataValidation>
    <dataValidation type="list" allowBlank="1" showInputMessage="1" showErrorMessage="1" sqref="C23" xr:uid="{C50B4BC7-8E08-4237-8330-5B6FEDA3F5E2}">
      <formula1>"NONE,1,2,3,4,5,6,7,8,9,10"</formula1>
    </dataValidation>
    <dataValidation type="list" allowBlank="1" showInputMessage="1" showErrorMessage="1" sqref="C5" xr:uid="{FE647134-6AF7-4818-A24A-CA8444F7C5E1}">
      <formula1>"M1,N1"</formula1>
    </dataValidation>
    <dataValidation type="list" allowBlank="1" showInputMessage="1" showErrorMessage="1" sqref="C36:C37" xr:uid="{BC680C18-5DB6-4867-8532-8C0CEE2A0FB4}">
      <formula1>"SUMMER,WINTER,ALL SEASON, ALL TERRAIN,SPECIAL,OTHER"</formula1>
    </dataValidation>
    <dataValidation type="list" allowBlank="1" showInputMessage="1" showErrorMessage="1" sqref="C35" xr:uid="{84DFC42D-4E59-4367-8295-C00FA7C0388C}">
      <formula1>"C1,C2,C3"</formula1>
    </dataValidation>
  </dataValidations>
  <pageMargins left="0.7" right="0.7" top="0.78740157499999996" bottom="0.78740157499999996" header="0.3" footer="0.3"/>
  <pageSetup paperSize="9" scale="55" orientation="landscape"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4F01D-6E01-4D08-BA62-3C7781B71316}">
  <sheetPr>
    <tabColor theme="9" tint="0.79998168889431442"/>
  </sheetPr>
  <dimension ref="A1:H59"/>
  <sheetViews>
    <sheetView zoomScaleNormal="100" zoomScaleSheetLayoutView="100" workbookViewId="0">
      <selection activeCell="E27" sqref="E27"/>
    </sheetView>
  </sheetViews>
  <sheetFormatPr baseColWidth="10" defaultColWidth="0" defaultRowHeight="15" zeroHeight="1"/>
  <cols>
    <col min="1" max="1" width="35.7109375" style="59" customWidth="1"/>
    <col min="2" max="2" width="20.7109375" style="59" customWidth="1"/>
    <col min="3" max="3" width="15.7109375" style="59" customWidth="1"/>
    <col min="4" max="4" width="12.7109375" style="59" customWidth="1"/>
    <col min="5" max="5" width="80.7109375" style="59" customWidth="1"/>
    <col min="6" max="8" width="0" style="59" hidden="1" customWidth="1"/>
    <col min="9" max="16384" width="11.42578125" style="59" hidden="1"/>
  </cols>
  <sheetData>
    <row r="1" spans="1:6" s="52" customFormat="1" ht="20.100000000000001" customHeight="1">
      <c r="A1" s="210" t="s">
        <v>169</v>
      </c>
      <c r="B1" s="211"/>
      <c r="C1" s="211"/>
      <c r="D1" s="211"/>
      <c r="E1" s="212"/>
    </row>
    <row r="2" spans="1:6" s="42" customFormat="1" ht="20.100000000000001" customHeight="1">
      <c r="A2" s="91" t="s">
        <v>75</v>
      </c>
      <c r="B2" s="91" t="s">
        <v>38</v>
      </c>
      <c r="C2" s="91" t="s">
        <v>68</v>
      </c>
      <c r="D2" s="91" t="s">
        <v>71</v>
      </c>
      <c r="E2" s="91" t="s">
        <v>72</v>
      </c>
    </row>
    <row r="3" spans="1:6" s="19" customFormat="1" ht="20.100000000000001" customHeight="1">
      <c r="A3" s="213" t="s">
        <v>84</v>
      </c>
      <c r="B3" s="214"/>
      <c r="C3" s="214"/>
      <c r="D3" s="214"/>
      <c r="E3" s="215"/>
    </row>
    <row r="4" spans="1:6" s="19" customFormat="1" ht="20.100000000000001" customHeight="1">
      <c r="A4" s="62" t="s">
        <v>181</v>
      </c>
      <c r="B4" s="63" t="s">
        <v>4</v>
      </c>
      <c r="C4" s="107"/>
      <c r="D4" s="64" t="s">
        <v>70</v>
      </c>
      <c r="E4" s="93" t="s">
        <v>216</v>
      </c>
    </row>
    <row r="5" spans="1:6" s="19" customFormat="1" ht="20.100000000000001" customHeight="1">
      <c r="A5" s="62" t="s">
        <v>285</v>
      </c>
      <c r="B5" s="63" t="s">
        <v>4</v>
      </c>
      <c r="C5" s="60"/>
      <c r="D5" s="64" t="s">
        <v>70</v>
      </c>
      <c r="E5" s="93" t="s">
        <v>215</v>
      </c>
    </row>
    <row r="6" spans="1:6" s="19" customFormat="1" ht="20.100000000000001" customHeight="1">
      <c r="A6" s="62" t="s">
        <v>10</v>
      </c>
      <c r="B6" s="63" t="s">
        <v>11</v>
      </c>
      <c r="C6" s="61" t="s">
        <v>23</v>
      </c>
      <c r="D6" s="64" t="s">
        <v>70</v>
      </c>
      <c r="E6" s="93" t="s">
        <v>223</v>
      </c>
    </row>
    <row r="7" spans="1:6" s="19" customFormat="1" ht="20.100000000000001" customHeight="1">
      <c r="A7" s="62" t="s">
        <v>85</v>
      </c>
      <c r="B7" s="63"/>
      <c r="C7" s="61">
        <v>1</v>
      </c>
      <c r="D7" s="64" t="s">
        <v>70</v>
      </c>
      <c r="E7" s="93" t="s">
        <v>219</v>
      </c>
    </row>
    <row r="8" spans="1:6" s="19" customFormat="1" ht="20.100000000000001" customHeight="1">
      <c r="A8" s="62" t="s">
        <v>218</v>
      </c>
      <c r="B8" s="63"/>
      <c r="C8" s="61" t="s">
        <v>494</v>
      </c>
      <c r="D8" s="64" t="s">
        <v>70</v>
      </c>
      <c r="E8" s="93" t="s">
        <v>220</v>
      </c>
    </row>
    <row r="9" spans="1:6" s="19" customFormat="1" ht="20.100000000000001" customHeight="1">
      <c r="A9" s="62" t="s">
        <v>221</v>
      </c>
      <c r="B9" s="63"/>
      <c r="C9" s="97"/>
      <c r="D9" s="64" t="s">
        <v>70</v>
      </c>
      <c r="E9" s="93" t="s">
        <v>228</v>
      </c>
    </row>
    <row r="10" spans="1:6" s="19" customFormat="1" ht="20.100000000000001" customHeight="1">
      <c r="A10" s="62" t="s">
        <v>222</v>
      </c>
      <c r="B10" s="63"/>
      <c r="C10" s="97"/>
      <c r="D10" s="64" t="s">
        <v>70</v>
      </c>
      <c r="E10" s="93" t="s">
        <v>217</v>
      </c>
    </row>
    <row r="11" spans="1:6" s="19" customFormat="1" ht="20.100000000000001" customHeight="1">
      <c r="A11" s="62" t="s">
        <v>14</v>
      </c>
      <c r="B11" s="63"/>
      <c r="C11" s="60"/>
      <c r="D11" s="64" t="s">
        <v>407</v>
      </c>
      <c r="E11" s="93" t="s">
        <v>415</v>
      </c>
    </row>
    <row r="12" spans="1:6" s="19" customFormat="1" ht="20.100000000000001" customHeight="1">
      <c r="A12" s="62" t="s">
        <v>313</v>
      </c>
      <c r="B12" s="63" t="s">
        <v>8</v>
      </c>
      <c r="C12" s="149">
        <f>IF('(1) Vehicle Data'!C19="F",'(1) Vehicle Data'!C18,IF('(1) Vehicle Data'!C19="M",'(1) Vehicle Data'!C18/2,0))</f>
        <v>0</v>
      </c>
      <c r="D12" s="64"/>
      <c r="E12" s="62" t="s">
        <v>408</v>
      </c>
    </row>
    <row r="13" spans="1:6" s="19" customFormat="1" ht="20.100000000000001" customHeight="1">
      <c r="A13" s="213" t="s">
        <v>467</v>
      </c>
      <c r="B13" s="214"/>
      <c r="C13" s="214"/>
      <c r="D13" s="214"/>
      <c r="E13" s="215"/>
    </row>
    <row r="14" spans="1:6" s="19" customFormat="1" ht="20.100000000000001" customHeight="1">
      <c r="A14" s="217" t="s">
        <v>312</v>
      </c>
      <c r="B14" s="218"/>
      <c r="C14" s="61" t="s">
        <v>20</v>
      </c>
      <c r="D14" s="64" t="s">
        <v>70</v>
      </c>
      <c r="E14" s="93" t="s">
        <v>310</v>
      </c>
    </row>
    <row r="15" spans="1:6" s="19" customFormat="1" ht="20.100000000000001" customHeight="1">
      <c r="A15" s="217" t="s">
        <v>309</v>
      </c>
      <c r="B15" s="218"/>
      <c r="C15" s="109" t="s">
        <v>308</v>
      </c>
      <c r="D15" s="64" t="s">
        <v>70</v>
      </c>
      <c r="E15" s="150" t="s">
        <v>383</v>
      </c>
    </row>
    <row r="16" spans="1:6" s="19" customFormat="1" ht="20.100000000000001" customHeight="1">
      <c r="A16" s="219" t="s">
        <v>202</v>
      </c>
      <c r="B16" s="221"/>
      <c r="C16" s="216"/>
      <c r="D16" s="216"/>
      <c r="E16" s="216"/>
      <c r="F16" s="54"/>
    </row>
    <row r="17" spans="1:6" s="19" customFormat="1" ht="20.100000000000001" customHeight="1">
      <c r="A17" s="219" t="s">
        <v>466</v>
      </c>
      <c r="B17" s="220"/>
      <c r="C17" s="61" t="s">
        <v>20</v>
      </c>
      <c r="D17" s="64" t="s">
        <v>70</v>
      </c>
      <c r="E17" s="93" t="s">
        <v>311</v>
      </c>
      <c r="F17" s="54"/>
    </row>
    <row r="18" spans="1:6" s="19" customFormat="1" ht="20.100000000000001" customHeight="1">
      <c r="A18" s="62" t="s">
        <v>400</v>
      </c>
      <c r="B18" s="63" t="s">
        <v>4</v>
      </c>
      <c r="C18" s="107"/>
      <c r="D18" s="64" t="s">
        <v>407</v>
      </c>
      <c r="E18" s="162" t="s">
        <v>406</v>
      </c>
      <c r="F18" s="54"/>
    </row>
    <row r="19" spans="1:6" s="19" customFormat="1" ht="20.100000000000001" customHeight="1">
      <c r="A19" s="62" t="s">
        <v>401</v>
      </c>
      <c r="B19" s="63" t="s">
        <v>3</v>
      </c>
      <c r="C19" s="94"/>
      <c r="D19" s="64" t="s">
        <v>407</v>
      </c>
      <c r="E19" s="162" t="s">
        <v>473</v>
      </c>
      <c r="F19" s="54"/>
    </row>
    <row r="20" spans="1:6" s="19" customFormat="1" ht="20.100000000000001" customHeight="1">
      <c r="A20" s="62" t="s">
        <v>402</v>
      </c>
      <c r="B20" s="63" t="s">
        <v>1</v>
      </c>
      <c r="C20" s="107"/>
      <c r="D20" s="64"/>
      <c r="E20" s="162" t="s">
        <v>472</v>
      </c>
      <c r="F20" s="54"/>
    </row>
    <row r="21" spans="1:6" s="19" customFormat="1" ht="20.100000000000001" customHeight="1">
      <c r="A21" s="213" t="s">
        <v>224</v>
      </c>
      <c r="B21" s="214"/>
      <c r="C21" s="214"/>
      <c r="D21" s="214"/>
      <c r="E21" s="215"/>
    </row>
    <row r="22" spans="1:6" s="19" customFormat="1" ht="20.100000000000001" customHeight="1">
      <c r="A22" s="62" t="s">
        <v>382</v>
      </c>
      <c r="B22" s="63" t="s">
        <v>4</v>
      </c>
      <c r="C22" s="107"/>
      <c r="D22" s="64" t="s">
        <v>70</v>
      </c>
      <c r="E22" s="93" t="s">
        <v>231</v>
      </c>
    </row>
    <row r="23" spans="1:6" s="19" customFormat="1" ht="20.100000000000001" customHeight="1">
      <c r="A23" s="62" t="s">
        <v>182</v>
      </c>
      <c r="B23" s="63" t="s">
        <v>1</v>
      </c>
      <c r="C23" s="107"/>
      <c r="D23" s="64" t="s">
        <v>70</v>
      </c>
      <c r="E23" s="93" t="s">
        <v>231</v>
      </c>
    </row>
    <row r="24" spans="1:6" s="19" customFormat="1" ht="20.100000000000001" customHeight="1">
      <c r="A24" s="62" t="s">
        <v>183</v>
      </c>
      <c r="B24" s="63" t="s">
        <v>1</v>
      </c>
      <c r="C24" s="107"/>
      <c r="D24" s="64" t="s">
        <v>70</v>
      </c>
      <c r="E24" s="93" t="s">
        <v>231</v>
      </c>
    </row>
    <row r="25" spans="1:6" s="19" customFormat="1" ht="20.100000000000001" customHeight="1">
      <c r="A25" s="62" t="s">
        <v>184</v>
      </c>
      <c r="B25" s="63" t="s">
        <v>1</v>
      </c>
      <c r="C25" s="107"/>
      <c r="D25" s="64" t="s">
        <v>70</v>
      </c>
      <c r="E25" s="93" t="s">
        <v>231</v>
      </c>
    </row>
    <row r="26" spans="1:6" s="19" customFormat="1" ht="20.100000000000001" customHeight="1">
      <c r="A26" s="62" t="s">
        <v>185</v>
      </c>
      <c r="B26" s="63" t="s">
        <v>3</v>
      </c>
      <c r="C26" s="94"/>
      <c r="D26" s="64" t="s">
        <v>70</v>
      </c>
      <c r="E26" s="62" t="s">
        <v>232</v>
      </c>
    </row>
    <row r="27" spans="1:6" s="19" customFormat="1" ht="20.100000000000001" customHeight="1">
      <c r="A27" s="62" t="s">
        <v>186</v>
      </c>
      <c r="B27" s="63" t="s">
        <v>3</v>
      </c>
      <c r="C27" s="94"/>
      <c r="D27" s="64" t="s">
        <v>70</v>
      </c>
      <c r="E27" s="62" t="s">
        <v>232</v>
      </c>
    </row>
    <row r="28" spans="1:6" s="19" customFormat="1" ht="20.100000000000001" customHeight="1">
      <c r="A28" s="62" t="s">
        <v>187</v>
      </c>
      <c r="B28" s="63" t="s">
        <v>3</v>
      </c>
      <c r="C28" s="94"/>
      <c r="D28" s="64" t="s">
        <v>70</v>
      </c>
      <c r="E28" s="62" t="s">
        <v>232</v>
      </c>
    </row>
    <row r="29" spans="1:6" s="19" customFormat="1" ht="20.100000000000001" customHeight="1">
      <c r="A29" s="62" t="s">
        <v>188</v>
      </c>
      <c r="B29" s="63" t="s">
        <v>5</v>
      </c>
      <c r="C29" s="97"/>
      <c r="D29" s="64" t="s">
        <v>70</v>
      </c>
      <c r="E29" s="62" t="s">
        <v>233</v>
      </c>
    </row>
    <row r="30" spans="1:6" s="19" customFormat="1" ht="20.100000000000001" customHeight="1">
      <c r="A30" s="62" t="s">
        <v>314</v>
      </c>
      <c r="B30" s="63" t="s">
        <v>8</v>
      </c>
      <c r="C30" s="96"/>
      <c r="D30" s="64" t="s">
        <v>70</v>
      </c>
      <c r="E30" s="93" t="s">
        <v>216</v>
      </c>
    </row>
    <row r="31" spans="1:6" s="19" customFormat="1" ht="20.100000000000001" customHeight="1">
      <c r="A31" s="62" t="s">
        <v>315</v>
      </c>
      <c r="B31" s="63" t="s">
        <v>230</v>
      </c>
      <c r="C31" s="61" t="s">
        <v>20</v>
      </c>
      <c r="D31" s="64" t="s">
        <v>70</v>
      </c>
      <c r="E31" s="62" t="s">
        <v>229</v>
      </c>
    </row>
    <row r="32" spans="1:6" s="19" customFormat="1" ht="20.100000000000001" customHeight="1">
      <c r="A32" s="213" t="s">
        <v>225</v>
      </c>
      <c r="B32" s="214"/>
      <c r="C32" s="214"/>
      <c r="D32" s="214"/>
      <c r="E32" s="215"/>
    </row>
    <row r="33" spans="1:5" s="19" customFormat="1" ht="20.100000000000001" customHeight="1">
      <c r="A33" s="148" t="s">
        <v>379</v>
      </c>
      <c r="B33" s="63" t="s">
        <v>4</v>
      </c>
      <c r="C33" s="107"/>
      <c r="D33" s="64" t="s">
        <v>70</v>
      </c>
      <c r="E33" s="93" t="s">
        <v>231</v>
      </c>
    </row>
    <row r="34" spans="1:5" s="19" customFormat="1" ht="20.100000000000001" customHeight="1">
      <c r="A34" s="148" t="s">
        <v>380</v>
      </c>
      <c r="B34" s="63" t="s">
        <v>1</v>
      </c>
      <c r="C34" s="107"/>
      <c r="D34" s="64" t="s">
        <v>70</v>
      </c>
      <c r="E34" s="93" t="s">
        <v>231</v>
      </c>
    </row>
    <row r="35" spans="1:5" s="19" customFormat="1" ht="20.100000000000001" customHeight="1">
      <c r="A35" s="148" t="s">
        <v>381</v>
      </c>
      <c r="B35" s="63" t="s">
        <v>3</v>
      </c>
      <c r="C35" s="94"/>
      <c r="D35" s="64" t="s">
        <v>70</v>
      </c>
      <c r="E35" s="62" t="s">
        <v>232</v>
      </c>
    </row>
    <row r="36" spans="1:5" s="19" customFormat="1" ht="20.100000000000001" customHeight="1">
      <c r="A36" s="148" t="s">
        <v>315</v>
      </c>
      <c r="B36" s="63" t="s">
        <v>230</v>
      </c>
      <c r="C36" s="61" t="s">
        <v>20</v>
      </c>
      <c r="D36" s="64" t="s">
        <v>70</v>
      </c>
      <c r="E36" s="62" t="s">
        <v>229</v>
      </c>
    </row>
    <row r="37" spans="1:5" s="19" customFormat="1" ht="20.100000000000001" customHeight="1">
      <c r="A37" s="213" t="s">
        <v>226</v>
      </c>
      <c r="B37" s="214"/>
      <c r="C37" s="214"/>
      <c r="D37" s="214"/>
      <c r="E37" s="215"/>
    </row>
    <row r="38" spans="1:5" s="19" customFormat="1" ht="20.100000000000001" customHeight="1">
      <c r="A38" s="62" t="s">
        <v>382</v>
      </c>
      <c r="B38" s="63" t="s">
        <v>4</v>
      </c>
      <c r="C38" s="107"/>
      <c r="D38" s="64" t="s">
        <v>70</v>
      </c>
      <c r="E38" s="93" t="s">
        <v>231</v>
      </c>
    </row>
    <row r="39" spans="1:5" s="19" customFormat="1" ht="20.100000000000001" customHeight="1">
      <c r="A39" s="62" t="s">
        <v>182</v>
      </c>
      <c r="B39" s="63" t="s">
        <v>1</v>
      </c>
      <c r="C39" s="107"/>
      <c r="D39" s="64" t="s">
        <v>70</v>
      </c>
      <c r="E39" s="93" t="s">
        <v>231</v>
      </c>
    </row>
    <row r="40" spans="1:5" s="19" customFormat="1" ht="20.100000000000001" customHeight="1">
      <c r="A40" s="62" t="s">
        <v>183</v>
      </c>
      <c r="B40" s="63" t="s">
        <v>1</v>
      </c>
      <c r="C40" s="107"/>
      <c r="D40" s="64" t="s">
        <v>70</v>
      </c>
      <c r="E40" s="93" t="s">
        <v>231</v>
      </c>
    </row>
    <row r="41" spans="1:5" s="19" customFormat="1" ht="20.100000000000001" customHeight="1">
      <c r="A41" s="62" t="s">
        <v>184</v>
      </c>
      <c r="B41" s="63" t="s">
        <v>1</v>
      </c>
      <c r="C41" s="107"/>
      <c r="D41" s="64" t="s">
        <v>70</v>
      </c>
      <c r="E41" s="93" t="s">
        <v>231</v>
      </c>
    </row>
    <row r="42" spans="1:5" s="19" customFormat="1" ht="20.100000000000001" customHeight="1">
      <c r="A42" s="62" t="s">
        <v>185</v>
      </c>
      <c r="B42" s="63" t="s">
        <v>3</v>
      </c>
      <c r="C42" s="94"/>
      <c r="D42" s="64" t="s">
        <v>70</v>
      </c>
      <c r="E42" s="62" t="s">
        <v>232</v>
      </c>
    </row>
    <row r="43" spans="1:5" s="19" customFormat="1" ht="20.100000000000001" customHeight="1">
      <c r="A43" s="62" t="s">
        <v>186</v>
      </c>
      <c r="B43" s="63" t="s">
        <v>3</v>
      </c>
      <c r="C43" s="94"/>
      <c r="D43" s="64" t="s">
        <v>70</v>
      </c>
      <c r="E43" s="62" t="s">
        <v>232</v>
      </c>
    </row>
    <row r="44" spans="1:5" s="19" customFormat="1" ht="20.100000000000001" customHeight="1">
      <c r="A44" s="62" t="s">
        <v>187</v>
      </c>
      <c r="B44" s="63" t="s">
        <v>3</v>
      </c>
      <c r="C44" s="94"/>
      <c r="D44" s="64" t="s">
        <v>70</v>
      </c>
      <c r="E44" s="62" t="s">
        <v>232</v>
      </c>
    </row>
    <row r="45" spans="1:5" s="19" customFormat="1" ht="20.100000000000001" customHeight="1">
      <c r="A45" s="62" t="s">
        <v>188</v>
      </c>
      <c r="B45" s="63" t="s">
        <v>5</v>
      </c>
      <c r="C45" s="97"/>
      <c r="D45" s="64" t="s">
        <v>70</v>
      </c>
      <c r="E45" s="62" t="s">
        <v>233</v>
      </c>
    </row>
    <row r="46" spans="1:5" s="19" customFormat="1" ht="20.100000000000001" customHeight="1">
      <c r="A46" s="62" t="s">
        <v>314</v>
      </c>
      <c r="B46" s="63" t="s">
        <v>8</v>
      </c>
      <c r="C46" s="60"/>
      <c r="D46" s="64" t="s">
        <v>70</v>
      </c>
      <c r="E46" s="93" t="s">
        <v>216</v>
      </c>
    </row>
    <row r="47" spans="1:5" s="19" customFormat="1" ht="20.100000000000001" customHeight="1">
      <c r="A47" s="62" t="s">
        <v>315</v>
      </c>
      <c r="B47" s="63" t="s">
        <v>230</v>
      </c>
      <c r="C47" s="61" t="s">
        <v>23</v>
      </c>
      <c r="D47" s="64" t="s">
        <v>70</v>
      </c>
      <c r="E47" s="62" t="s">
        <v>229</v>
      </c>
    </row>
    <row r="48" spans="1:5" s="19" customFormat="1" ht="20.100000000000001" customHeight="1">
      <c r="A48" s="213" t="s">
        <v>227</v>
      </c>
      <c r="B48" s="214"/>
      <c r="C48" s="214"/>
      <c r="D48" s="214"/>
      <c r="E48" s="215"/>
    </row>
    <row r="49" spans="1:5" s="19" customFormat="1" ht="20.100000000000001" customHeight="1">
      <c r="A49" s="148" t="s">
        <v>379</v>
      </c>
      <c r="B49" s="63" t="s">
        <v>4</v>
      </c>
      <c r="C49" s="107"/>
      <c r="D49" s="64" t="s">
        <v>70</v>
      </c>
      <c r="E49" s="93" t="s">
        <v>231</v>
      </c>
    </row>
    <row r="50" spans="1:5" s="19" customFormat="1" ht="20.100000000000001" customHeight="1">
      <c r="A50" s="148" t="s">
        <v>380</v>
      </c>
      <c r="B50" s="63" t="s">
        <v>1</v>
      </c>
      <c r="C50" s="107"/>
      <c r="D50" s="64" t="s">
        <v>70</v>
      </c>
      <c r="E50" s="93" t="s">
        <v>231</v>
      </c>
    </row>
    <row r="51" spans="1:5" s="19" customFormat="1" ht="20.100000000000001" customHeight="1">
      <c r="A51" s="148" t="s">
        <v>381</v>
      </c>
      <c r="B51" s="63" t="s">
        <v>3</v>
      </c>
      <c r="C51" s="94"/>
      <c r="D51" s="64" t="s">
        <v>70</v>
      </c>
      <c r="E51" s="62" t="s">
        <v>232</v>
      </c>
    </row>
    <row r="52" spans="1:5" s="19" customFormat="1" ht="20.100000000000001" customHeight="1">
      <c r="A52" s="148" t="s">
        <v>315</v>
      </c>
      <c r="B52" s="63" t="s">
        <v>230</v>
      </c>
      <c r="C52" s="61" t="s">
        <v>23</v>
      </c>
      <c r="D52" s="64" t="s">
        <v>70</v>
      </c>
      <c r="E52" s="62" t="s">
        <v>229</v>
      </c>
    </row>
    <row r="53" spans="1:5" s="19" customFormat="1" ht="20.100000000000001" customHeight="1">
      <c r="A53" s="213" t="s">
        <v>448</v>
      </c>
      <c r="B53" s="214"/>
      <c r="C53" s="214"/>
      <c r="D53" s="214"/>
      <c r="E53" s="215"/>
    </row>
    <row r="54" spans="1:5" s="19" customFormat="1" ht="19.899999999999999" customHeight="1">
      <c r="A54" s="62" t="s">
        <v>452</v>
      </c>
      <c r="B54" s="196" t="s">
        <v>449</v>
      </c>
      <c r="C54" s="201"/>
      <c r="D54" s="64" t="s">
        <v>70</v>
      </c>
      <c r="E54" s="62" t="s">
        <v>216</v>
      </c>
    </row>
    <row r="55" spans="1:5" s="19" customFormat="1" ht="19.899999999999999" customHeight="1">
      <c r="A55" s="62" t="s">
        <v>453</v>
      </c>
      <c r="B55" s="196" t="s">
        <v>449</v>
      </c>
      <c r="C55" s="201"/>
      <c r="D55" s="64" t="s">
        <v>70</v>
      </c>
      <c r="E55" s="62" t="s">
        <v>216</v>
      </c>
    </row>
    <row r="56" spans="1:5" s="19" customFormat="1" ht="19.899999999999999" customHeight="1">
      <c r="A56" s="62" t="s">
        <v>455</v>
      </c>
      <c r="B56" s="196" t="s">
        <v>450</v>
      </c>
      <c r="C56" s="94"/>
      <c r="D56" s="64" t="s">
        <v>70</v>
      </c>
      <c r="E56" s="62" t="s">
        <v>252</v>
      </c>
    </row>
    <row r="57" spans="1:5" s="19" customFormat="1" ht="19.899999999999999" customHeight="1">
      <c r="A57" s="62" t="s">
        <v>454</v>
      </c>
      <c r="B57" s="196" t="s">
        <v>24</v>
      </c>
      <c r="C57" s="94"/>
      <c r="D57" s="64" t="s">
        <v>70</v>
      </c>
      <c r="E57" s="62" t="s">
        <v>252</v>
      </c>
    </row>
    <row r="58" spans="1:5" s="19" customFormat="1" ht="19.899999999999999" customHeight="1">
      <c r="A58" s="62" t="s">
        <v>456</v>
      </c>
      <c r="B58" s="196" t="s">
        <v>451</v>
      </c>
      <c r="C58" s="201"/>
      <c r="D58" s="64" t="s">
        <v>70</v>
      </c>
      <c r="E58" s="62" t="s">
        <v>216</v>
      </c>
    </row>
    <row r="59" spans="1:5"/>
  </sheetData>
  <sheetProtection algorithmName="SHA-512" hashValue="dfFxGLBHZFDRRNr6HK2wKwXdbSzf9PqjuitpVuVpv2WCmpHXoPqfsLlA09vtEjQwkOQwOXzBp/6yNx44KmIfug==" saltValue="thGpJmmwLULUgv4/S+KgkQ==" spinCount="100000" sheet="1" objects="1" scenarios="1"/>
  <customSheetViews>
    <customSheetView guid="{C0223898-2DB3-485F-A6E2-8575C6691491}" showPageBreaks="1">
      <selection activeCell="D17" sqref="D17"/>
      <pageMargins left="0.7" right="0.7" top="0.78740157499999996" bottom="0.78740157499999996" header="0.3" footer="0.3"/>
      <pageSetup paperSize="9" orientation="portrait" r:id="rId1"/>
    </customSheetView>
  </customSheetViews>
  <mergeCells count="13">
    <mergeCell ref="A53:E53"/>
    <mergeCell ref="A48:E48"/>
    <mergeCell ref="A3:E3"/>
    <mergeCell ref="A21:E21"/>
    <mergeCell ref="A32:E32"/>
    <mergeCell ref="A1:E1"/>
    <mergeCell ref="A37:E37"/>
    <mergeCell ref="A13:E13"/>
    <mergeCell ref="C16:E16"/>
    <mergeCell ref="A15:B15"/>
    <mergeCell ref="A14:B14"/>
    <mergeCell ref="A17:B17"/>
    <mergeCell ref="A16:B16"/>
  </mergeCells>
  <phoneticPr fontId="25" type="noConversion"/>
  <dataValidations count="5">
    <dataValidation type="list" allowBlank="1" showInputMessage="1" showErrorMessage="1" sqref="C6 C14 C17" xr:uid="{F4281C53-AA14-4446-8815-D359FDC5F624}">
      <formula1>"Y,N"</formula1>
    </dataValidation>
    <dataValidation type="list" allowBlank="1" showInputMessage="1" showErrorMessage="1" sqref="C7" xr:uid="{65956A2C-034A-4E78-B497-31A6974E2CB7}">
      <formula1>"D,1,2,3,4,5,6,7,8"</formula1>
    </dataValidation>
    <dataValidation type="list" allowBlank="1" showInputMessage="1" showErrorMessage="1" sqref="C31 C36 C47 C52" xr:uid="{BD262A88-C975-4662-AD47-6B9A4C1CEC6E}">
      <formula1>"Y,N,START,END"</formula1>
    </dataValidation>
    <dataValidation type="list" allowBlank="1" showInputMessage="1" showErrorMessage="1" sqref="C15" xr:uid="{0E69A466-31E2-4AA4-A89E-9FA5643033C3}">
      <formula1>"N.A.,'1.1,'1.2,'2.1,'2.2,'3.1,'3.2,'4.1,'4.2,'4.3,OTHER"</formula1>
    </dataValidation>
    <dataValidation type="list" allowBlank="1" showInputMessage="1" showErrorMessage="1" sqref="C8" xr:uid="{3FF62724-7950-4911-A805-8AF6D1B2C61D}">
      <formula1>"NONE,2,3,4,5,6,7,8,9,10"</formula1>
    </dataValidation>
  </dataValidations>
  <pageMargins left="0.7" right="0.7" top="0.78740157499999996" bottom="0.78740157499999996" header="0.3" footer="0.3"/>
  <pageSetup paperSize="9" scale="61" orientation="portrait"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BEAEF-2CD1-4DE7-B193-3B2DCD3A7FBA}">
  <sheetPr>
    <tabColor theme="9" tint="0.79998168889431442"/>
  </sheetPr>
  <dimension ref="A1:K42"/>
  <sheetViews>
    <sheetView zoomScaleNormal="100" workbookViewId="0">
      <selection activeCell="B5" sqref="B5"/>
    </sheetView>
  </sheetViews>
  <sheetFormatPr baseColWidth="10" defaultColWidth="0" defaultRowHeight="15" zeroHeight="1"/>
  <cols>
    <col min="1" max="1" width="55.7109375" style="42" customWidth="1"/>
    <col min="2" max="2" width="11.42578125" style="42" customWidth="1"/>
    <col min="3" max="3" width="12.7109375" style="42" customWidth="1"/>
    <col min="4" max="4" width="11.42578125" style="42" customWidth="1"/>
    <col min="5" max="5" width="72.42578125" style="42" customWidth="1"/>
    <col min="6" max="6" width="3.7109375" style="42" customWidth="1"/>
    <col min="7" max="8" width="11.7109375" style="42" customWidth="1"/>
    <col min="9" max="11" width="11.7109375" style="19" customWidth="1"/>
    <col min="12" max="16384" width="11.42578125" style="19" hidden="1"/>
  </cols>
  <sheetData>
    <row r="1" spans="1:11" ht="20.100000000000001" customHeight="1">
      <c r="A1" s="222" t="s">
        <v>171</v>
      </c>
      <c r="B1" s="222"/>
      <c r="C1" s="222"/>
      <c r="D1" s="222"/>
      <c r="E1" s="222"/>
      <c r="F1" s="53"/>
      <c r="G1" s="53"/>
      <c r="H1" s="53"/>
      <c r="I1" s="54"/>
      <c r="J1" s="54"/>
      <c r="K1" s="54"/>
    </row>
    <row r="2" spans="1:11" ht="20.100000000000001" customHeight="1">
      <c r="A2" s="92" t="s">
        <v>36</v>
      </c>
      <c r="B2" s="92" t="s">
        <v>68</v>
      </c>
      <c r="C2" s="92" t="s">
        <v>38</v>
      </c>
      <c r="D2" s="92" t="s">
        <v>71</v>
      </c>
      <c r="E2" s="92" t="s">
        <v>72</v>
      </c>
      <c r="F2" s="53"/>
      <c r="G2" s="231" t="s">
        <v>262</v>
      </c>
      <c r="H2" s="228" t="s">
        <v>328</v>
      </c>
      <c r="I2" s="237"/>
      <c r="J2" s="237"/>
      <c r="K2" s="229"/>
    </row>
    <row r="3" spans="1:11" ht="20.100000000000001" customHeight="1">
      <c r="A3" s="68" t="s">
        <v>93</v>
      </c>
      <c r="B3" s="61" t="s">
        <v>40</v>
      </c>
      <c r="C3" s="63"/>
      <c r="D3" s="165" t="s">
        <v>70</v>
      </c>
      <c r="E3" s="151" t="s">
        <v>384</v>
      </c>
      <c r="F3" s="53"/>
      <c r="G3" s="232"/>
      <c r="H3" s="108" t="s">
        <v>325</v>
      </c>
      <c r="I3" s="108" t="s">
        <v>326</v>
      </c>
      <c r="J3" s="108" t="s">
        <v>327</v>
      </c>
      <c r="K3" s="108" t="s">
        <v>329</v>
      </c>
    </row>
    <row r="4" spans="1:11" ht="20.100000000000001" customHeight="1">
      <c r="A4" s="68" t="s">
        <v>94</v>
      </c>
      <c r="B4" s="67">
        <f>IF(B3="A",1,IF(B3="B",2,3))</f>
        <v>2</v>
      </c>
      <c r="C4" s="63"/>
      <c r="D4" s="98"/>
      <c r="E4" s="63"/>
      <c r="F4" s="53"/>
      <c r="G4" s="233"/>
      <c r="H4" s="108">
        <v>1</v>
      </c>
      <c r="I4" s="108">
        <v>2</v>
      </c>
      <c r="J4" s="108">
        <v>3</v>
      </c>
      <c r="K4" s="108">
        <v>4</v>
      </c>
    </row>
    <row r="5" spans="1:11" ht="20.100000000000001" customHeight="1">
      <c r="A5" s="58" t="s">
        <v>479</v>
      </c>
      <c r="B5" s="202">
        <v>50</v>
      </c>
      <c r="C5" s="63" t="s">
        <v>1</v>
      </c>
      <c r="D5" s="165" t="s">
        <v>70</v>
      </c>
      <c r="E5" s="58" t="s">
        <v>480</v>
      </c>
      <c r="F5" s="53"/>
      <c r="G5" s="157" t="s">
        <v>394</v>
      </c>
      <c r="H5" s="65">
        <f>'(2) Annex 3 - Data'!C22</f>
        <v>0</v>
      </c>
      <c r="I5" s="65">
        <f>H5</f>
        <v>0</v>
      </c>
      <c r="J5" s="70">
        <f>('(2) Annex 3 - Data'!C5-'(2) Annex 3 - Data'!C10*'(2) Annex 3 - Data'!C33)/(1-'(2) Annex 3 - Data'!C10)</f>
        <v>0</v>
      </c>
      <c r="K5" s="70">
        <f>J5</f>
        <v>0</v>
      </c>
    </row>
    <row r="6" spans="1:11" ht="20.100000000000001" customHeight="1">
      <c r="A6" s="53"/>
      <c r="B6" s="53"/>
      <c r="C6" s="53"/>
      <c r="D6" s="53"/>
      <c r="E6" s="53"/>
      <c r="F6" s="53"/>
      <c r="G6" s="157" t="s">
        <v>395</v>
      </c>
      <c r="H6" s="65">
        <f>'(2) Annex 3 - Data'!C28</f>
        <v>0</v>
      </c>
      <c r="I6" s="65">
        <f>H6</f>
        <v>0</v>
      </c>
      <c r="J6" s="71" t="e">
        <f>'(2) Annex 3 - Data'!C25/'(3) Annex 9 - Setup Data'!B13*1000</f>
        <v>#DIV/0!</v>
      </c>
      <c r="K6" s="71" t="e">
        <f>J6</f>
        <v>#DIV/0!</v>
      </c>
    </row>
    <row r="7" spans="1:11" ht="20.100000000000001" customHeight="1">
      <c r="A7" s="222" t="s">
        <v>170</v>
      </c>
      <c r="B7" s="222"/>
      <c r="C7" s="222"/>
      <c r="D7" s="222"/>
      <c r="E7" s="222"/>
      <c r="F7" s="53"/>
      <c r="G7" s="157" t="s">
        <v>393</v>
      </c>
      <c r="H7" s="65">
        <f>'(2) Annex 3 - Data'!C33</f>
        <v>0</v>
      </c>
      <c r="I7" s="65">
        <f>'(2) Annex 3 - Data'!C33+0.5</f>
        <v>0.5</v>
      </c>
      <c r="J7" s="65">
        <f>H7</f>
        <v>0</v>
      </c>
      <c r="K7" s="65">
        <f>'(2) Annex 3 - Data'!C33+0.5</f>
        <v>0.5</v>
      </c>
    </row>
    <row r="8" spans="1:11" ht="20.100000000000001" customHeight="1">
      <c r="A8" s="68" t="s">
        <v>88</v>
      </c>
      <c r="B8" s="65" t="str">
        <f>'(1) Vehicle Data'!C9</f>
        <v>N</v>
      </c>
      <c r="C8" s="63"/>
      <c r="D8" s="63"/>
      <c r="E8" s="151" t="s">
        <v>385</v>
      </c>
      <c r="F8" s="53"/>
      <c r="G8" s="157" t="s">
        <v>396</v>
      </c>
      <c r="H8" s="65">
        <f>'(2) Annex 3 - Data'!C35</f>
        <v>0</v>
      </c>
      <c r="I8" s="71" t="e">
        <f>'(2) Annex 3 - Data'!C34/B15*1000</f>
        <v>#DIV/0!</v>
      </c>
      <c r="J8" s="65">
        <f>H8</f>
        <v>0</v>
      </c>
      <c r="K8" s="71" t="e">
        <f>'(2) Annex 3 - Data'!C34/B15*1000</f>
        <v>#DIV/0!</v>
      </c>
    </row>
    <row r="9" spans="1:11" ht="20.100000000000001" customHeight="1">
      <c r="A9" s="68" t="s">
        <v>338</v>
      </c>
      <c r="B9" s="65" t="str">
        <f>'(2) Annex 3 - Data'!C31</f>
        <v>N</v>
      </c>
      <c r="C9" s="63"/>
      <c r="D9" s="98"/>
      <c r="E9" s="68" t="s">
        <v>340</v>
      </c>
      <c r="F9" s="53"/>
      <c r="G9" s="53"/>
      <c r="H9" s="53"/>
      <c r="I9" s="54"/>
      <c r="J9" s="54"/>
      <c r="K9" s="54"/>
    </row>
    <row r="10" spans="1:11" ht="20.100000000000001" customHeight="1">
      <c r="A10" s="68" t="s">
        <v>339</v>
      </c>
      <c r="B10" s="65" t="str">
        <f>'(2) Annex 3 - Data'!C36</f>
        <v>N</v>
      </c>
      <c r="C10" s="63"/>
      <c r="D10" s="98"/>
      <c r="E10" s="68" t="s">
        <v>340</v>
      </c>
      <c r="F10" s="53"/>
      <c r="G10" s="234" t="s">
        <v>263</v>
      </c>
      <c r="H10" s="228" t="s">
        <v>328</v>
      </c>
      <c r="I10" s="237"/>
      <c r="J10" s="237"/>
      <c r="K10" s="229"/>
    </row>
    <row r="11" spans="1:11" ht="20.100000000000001" customHeight="1">
      <c r="A11" s="74" t="s">
        <v>341</v>
      </c>
      <c r="B11" s="80">
        <f>IF(B8="N",1,IF(AND(B9="Y",B10="Y"),1,IF(AND(B9="Y",B10="N"),2,IF(AND(B9="N",B10="Y"),3,4))))</f>
        <v>1</v>
      </c>
      <c r="C11" s="63"/>
      <c r="D11" s="63"/>
      <c r="E11" s="63"/>
      <c r="F11" s="53"/>
      <c r="G11" s="235"/>
      <c r="H11" s="108" t="s">
        <v>330</v>
      </c>
      <c r="I11" s="108" t="s">
        <v>331</v>
      </c>
      <c r="J11" s="108" t="s">
        <v>332</v>
      </c>
      <c r="K11" s="108" t="s">
        <v>333</v>
      </c>
    </row>
    <row r="12" spans="1:11" ht="20.100000000000001" customHeight="1">
      <c r="A12" s="68" t="s">
        <v>342</v>
      </c>
      <c r="B12" s="72">
        <v>1</v>
      </c>
      <c r="C12" s="63"/>
      <c r="D12" s="165" t="s">
        <v>70</v>
      </c>
      <c r="E12" s="68" t="s">
        <v>345</v>
      </c>
      <c r="F12" s="53"/>
      <c r="G12" s="236"/>
      <c r="H12" s="127">
        <v>1</v>
      </c>
      <c r="I12" s="108">
        <v>2</v>
      </c>
      <c r="J12" s="108">
        <v>3</v>
      </c>
      <c r="K12" s="108">
        <v>4</v>
      </c>
    </row>
    <row r="13" spans="1:11" ht="20.100000000000001" customHeight="1">
      <c r="A13" s="68" t="s">
        <v>73</v>
      </c>
      <c r="B13" s="73">
        <f>LOOKUP(B12,'(1) Vehicle Data'!A60:A69,'(1) Vehicle Data'!C60:C69)</f>
        <v>0</v>
      </c>
      <c r="C13" s="63"/>
      <c r="D13" s="63"/>
      <c r="E13" s="63"/>
      <c r="F13" s="53"/>
      <c r="G13" s="157" t="s">
        <v>394</v>
      </c>
      <c r="H13" s="67">
        <f>H5</f>
        <v>0</v>
      </c>
      <c r="I13" s="67">
        <f>H5</f>
        <v>0</v>
      </c>
      <c r="J13" s="129">
        <f>('(2) Annex 3 - Data'!C5-'(2) Annex 3 - Data'!C10*'(2) Annex 3 - Data'!C33)/(1-'(2) Annex 3 - Data'!C10)</f>
        <v>0</v>
      </c>
      <c r="K13" s="129">
        <f>('(2) Annex 3 - Data'!C5-'(2) Annex 3 - Data'!C10*'(2) Annex 3 - Data'!C33)/(1-'(2) Annex 3 - Data'!C10)</f>
        <v>0</v>
      </c>
    </row>
    <row r="14" spans="1:11" ht="20.100000000000001" customHeight="1">
      <c r="A14" s="68" t="s">
        <v>343</v>
      </c>
      <c r="B14" s="72">
        <v>1</v>
      </c>
      <c r="C14" s="63"/>
      <c r="D14" s="165" t="s">
        <v>70</v>
      </c>
      <c r="E14" s="68" t="s">
        <v>344</v>
      </c>
      <c r="F14" s="54"/>
      <c r="G14" s="157" t="s">
        <v>395</v>
      </c>
      <c r="H14" s="67">
        <f>H6</f>
        <v>0</v>
      </c>
      <c r="I14" s="67">
        <f>H6</f>
        <v>0</v>
      </c>
      <c r="J14" s="67">
        <f>'(2) Annex 3 - Data'!C25/20*1000</f>
        <v>0</v>
      </c>
      <c r="K14" s="67">
        <f>'(2) Annex 3 - Data'!C25/20*1000</f>
        <v>0</v>
      </c>
    </row>
    <row r="15" spans="1:11" ht="20.100000000000001" customHeight="1">
      <c r="A15" s="68" t="s">
        <v>73</v>
      </c>
      <c r="B15" s="73">
        <f>LOOKUP(B14,'(1) Vehicle Data'!A60:A69,'(1) Vehicle Data'!C60:C69)</f>
        <v>0</v>
      </c>
      <c r="C15" s="63"/>
      <c r="D15" s="63"/>
      <c r="E15" s="63"/>
      <c r="F15" s="54"/>
      <c r="G15" s="157" t="s">
        <v>393</v>
      </c>
      <c r="H15" s="67">
        <f>H7</f>
        <v>0</v>
      </c>
      <c r="I15" s="67">
        <f>'(2) Annex 3 - Data'!C33+0.5</f>
        <v>0.5</v>
      </c>
      <c r="J15" s="67">
        <f>H15</f>
        <v>0</v>
      </c>
      <c r="K15" s="67">
        <f>'(2) Annex 3 - Data'!C33+0.5</f>
        <v>0.5</v>
      </c>
    </row>
    <row r="16" spans="1:11" ht="20.100000000000001" customHeight="1">
      <c r="A16" s="54"/>
      <c r="B16" s="54"/>
      <c r="C16" s="53"/>
      <c r="D16" s="53"/>
      <c r="E16" s="54"/>
      <c r="F16" s="54"/>
      <c r="G16" s="157" t="s">
        <v>396</v>
      </c>
      <c r="H16" s="67">
        <f>H8</f>
        <v>0</v>
      </c>
      <c r="I16" s="128">
        <f>'(2) Annex 3 - Data'!C25/30*1000</f>
        <v>0</v>
      </c>
      <c r="J16" s="67">
        <f>H16</f>
        <v>0</v>
      </c>
      <c r="K16" s="128">
        <f>'(2) Annex 3 - Data'!C25/30*1000</f>
        <v>0</v>
      </c>
    </row>
    <row r="17" spans="1:11" ht="20.100000000000001" customHeight="1">
      <c r="A17" s="222" t="s">
        <v>481</v>
      </c>
      <c r="B17" s="222"/>
      <c r="C17" s="222"/>
      <c r="D17" s="222"/>
      <c r="E17" s="222"/>
      <c r="F17" s="54"/>
      <c r="G17" s="53"/>
      <c r="H17" s="53"/>
      <c r="I17" s="54"/>
      <c r="J17" s="54"/>
      <c r="K17" s="54"/>
    </row>
    <row r="18" spans="1:11" s="152" customFormat="1" ht="20.100000000000001" customHeight="1">
      <c r="A18" s="159" t="s">
        <v>394</v>
      </c>
      <c r="B18" s="73">
        <f>IF(H19="Y",K21,IF(B8="P",LOOKUP($B$11,$H$4:$K$4,H5:K5),LOOKUP($B$11,$H$12:$K$12,H13:K13)))</f>
        <v>0</v>
      </c>
      <c r="C18" s="63" t="s">
        <v>4</v>
      </c>
      <c r="D18" s="63"/>
      <c r="E18" s="223" t="s">
        <v>336</v>
      </c>
      <c r="F18" s="54"/>
      <c r="G18" s="230" t="s">
        <v>390</v>
      </c>
      <c r="H18" s="230"/>
      <c r="I18" s="230"/>
      <c r="J18" s="230"/>
      <c r="K18" s="230"/>
    </row>
    <row r="19" spans="1:11" s="153" customFormat="1" ht="20.100000000000001" customHeight="1">
      <c r="A19" s="159" t="s">
        <v>395</v>
      </c>
      <c r="B19" s="75">
        <f>IF(H19="Y",K23,IF(LEFT('(1) Vehicle Data'!C7,2)="EV",INT('(2) Annex 3 - Data'!C25/30*1000),IF(B8="P",LOOKUP($B$11,$H$4:$K$4,H6:K6),LOOKUP($B$11,$H$12:$K$12,H14:K14))))</f>
        <v>0</v>
      </c>
      <c r="C19" s="63" t="s">
        <v>25</v>
      </c>
      <c r="D19" s="63"/>
      <c r="E19" s="224"/>
      <c r="F19" s="54"/>
      <c r="G19" s="157" t="s">
        <v>391</v>
      </c>
      <c r="H19" s="158" t="str">
        <f>IF('(1) Vehicle Data'!C17&lt;25,"Y","N")</f>
        <v>Y</v>
      </c>
      <c r="I19" s="226" t="s">
        <v>392</v>
      </c>
      <c r="J19" s="227"/>
      <c r="K19" s="65" t="str">
        <f>'(1) Vehicle Data'!C7</f>
        <v>EV (AVAS/SES)</v>
      </c>
    </row>
    <row r="20" spans="1:11" s="154" customFormat="1" ht="20.100000000000001" customHeight="1">
      <c r="A20" s="159" t="s">
        <v>393</v>
      </c>
      <c r="B20" s="73">
        <f>IF(H19="Y",K24,IF(B8="P",LOOKUP($B$11,$H$4:$K$4,H7:K7),LOOKUP($B$11,$H$12:$K$12,H15:K15)))</f>
        <v>-1.1000000000000001</v>
      </c>
      <c r="C20" s="63" t="s">
        <v>4</v>
      </c>
      <c r="D20" s="63"/>
      <c r="E20" s="224"/>
      <c r="F20" s="53"/>
      <c r="G20" s="228" t="s">
        <v>428</v>
      </c>
      <c r="H20" s="229"/>
      <c r="I20" s="54"/>
      <c r="J20" s="228" t="s">
        <v>430</v>
      </c>
      <c r="K20" s="229"/>
    </row>
    <row r="21" spans="1:11" s="50" customFormat="1" ht="20.100000000000001" customHeight="1">
      <c r="A21" s="159" t="s">
        <v>396</v>
      </c>
      <c r="B21" s="75">
        <f>IF(H19="Y",K26,IF(LEFT('(1) Vehicle Data'!C7,2)="EV",INT('(2) Annex 3 - Data'!C34/30*1000),IF(B8="P",LOOKUP($B$11,$H$4:$K$4,H8:K8),LOOKUP($B$11,$H$12:$K$12,H16:K16))))</f>
        <v>0</v>
      </c>
      <c r="C21" s="63" t="s">
        <v>25</v>
      </c>
      <c r="D21" s="63"/>
      <c r="E21" s="225"/>
      <c r="F21" s="53"/>
      <c r="G21" s="157" t="s">
        <v>394</v>
      </c>
      <c r="H21" s="166">
        <f>'(2) Annex 3 - Data'!C22</f>
        <v>0</v>
      </c>
      <c r="I21" s="54"/>
      <c r="J21" s="157" t="s">
        <v>394</v>
      </c>
      <c r="K21" s="166">
        <f>IF(LEFT(K19,3)="HEV",'(2) Annex 3 - Data'!C5+0.4,'(3) Annex 9 - Setup Data'!H21)</f>
        <v>0</v>
      </c>
    </row>
    <row r="22" spans="1:11" s="50" customFormat="1" ht="20.100000000000001" customHeight="1">
      <c r="A22" s="53"/>
      <c r="B22" s="53"/>
      <c r="C22" s="53"/>
      <c r="D22" s="53"/>
      <c r="E22" s="53"/>
      <c r="F22" s="53"/>
      <c r="G22" s="157" t="s">
        <v>427</v>
      </c>
      <c r="H22" s="70">
        <f>'(2) Annex 3 - Data'!C25</f>
        <v>0</v>
      </c>
      <c r="I22" s="54"/>
      <c r="J22" s="157" t="s">
        <v>427</v>
      </c>
      <c r="K22" s="70">
        <f>H22</f>
        <v>0</v>
      </c>
    </row>
    <row r="23" spans="1:11" s="50" customFormat="1" ht="20.100000000000001" customHeight="1">
      <c r="A23" s="222" t="s">
        <v>257</v>
      </c>
      <c r="B23" s="222"/>
      <c r="C23" s="222"/>
      <c r="D23" s="222"/>
      <c r="E23" s="222"/>
      <c r="F23" s="53"/>
      <c r="G23" s="157" t="s">
        <v>395</v>
      </c>
      <c r="H23" s="71">
        <f>'(2) Annex 3 - Data'!C28</f>
        <v>0</v>
      </c>
      <c r="I23" s="54"/>
      <c r="J23" s="157" t="s">
        <v>395</v>
      </c>
      <c r="K23" s="71">
        <f>IF(OR(LEFT(K19,2)="EV",LEFT(K19,3)="HEV"),H22/20*1000,H23)</f>
        <v>0</v>
      </c>
    </row>
    <row r="24" spans="1:11" s="50" customFormat="1" ht="20.100000000000001" customHeight="1">
      <c r="A24" s="68" t="s">
        <v>346</v>
      </c>
      <c r="B24" s="70">
        <f>B18-B20</f>
        <v>1.1000000000000001</v>
      </c>
      <c r="C24" s="63" t="s">
        <v>43</v>
      </c>
      <c r="D24" s="63"/>
      <c r="E24" s="68" t="s">
        <v>475</v>
      </c>
      <c r="F24" s="53"/>
      <c r="G24" s="157" t="s">
        <v>393</v>
      </c>
      <c r="H24" s="65" t="s">
        <v>429</v>
      </c>
      <c r="I24" s="54"/>
      <c r="J24" s="157" t="s">
        <v>393</v>
      </c>
      <c r="K24" s="70">
        <f>K21-1.1</f>
        <v>-1.1000000000000001</v>
      </c>
    </row>
    <row r="25" spans="1:11" s="50" customFormat="1" ht="20.100000000000001" customHeight="1">
      <c r="A25" s="68" t="s">
        <v>482</v>
      </c>
      <c r="B25" s="70" t="e">
        <f>IF(10^((20*LOG('(2) Annex 3 - Data'!C25/B5)+'(4) A9 - Test Report Sheet'!C4)/10)+10^(('(4) A9 - Test Report Sheet'!H7*LOG((B19+'(4) A9 - Test Report Sheet'!H9)/('(3) Annex 9 - Setup Data'!B21+'(4) A9 - Test Report Sheet'!H9))+'(4) A9 - Test Report Sheet'!H4)/10)&gt;=10^(B18/10),"SET 10 dB","OK")</f>
        <v>#NUM!</v>
      </c>
      <c r="C25" s="63" t="s">
        <v>43</v>
      </c>
      <c r="D25" s="63"/>
      <c r="E25" s="68" t="s">
        <v>476</v>
      </c>
      <c r="F25" s="53"/>
      <c r="G25" s="157" t="s">
        <v>419</v>
      </c>
      <c r="H25" s="65" t="s">
        <v>429</v>
      </c>
      <c r="I25" s="54"/>
      <c r="J25" s="157" t="s">
        <v>419</v>
      </c>
      <c r="K25" s="70">
        <f>'(2) Annex 3 - Data'!C34</f>
        <v>0</v>
      </c>
    </row>
    <row r="26" spans="1:11" s="50" customFormat="1" ht="20.100000000000001" customHeight="1">
      <c r="A26" s="74" t="s">
        <v>256</v>
      </c>
      <c r="B26" s="80" t="e">
        <f>IF(AND(B24&lt;1.1,B25="SET 10 dB"),"Y","N")</f>
        <v>#NUM!</v>
      </c>
      <c r="C26" s="63"/>
      <c r="D26" s="63"/>
      <c r="E26" s="63"/>
      <c r="F26" s="53"/>
      <c r="G26" s="157" t="s">
        <v>396</v>
      </c>
      <c r="H26" s="65" t="s">
        <v>429</v>
      </c>
      <c r="I26" s="54"/>
      <c r="J26" s="157" t="s">
        <v>396</v>
      </c>
      <c r="K26" s="71">
        <f>IF(LEFT(K19,2)="EV",K25/20*1000,K25/K22*K23)</f>
        <v>0</v>
      </c>
    </row>
    <row r="27" spans="1:11" s="50" customFormat="1" ht="20.100000000000001" customHeight="1">
      <c r="A27" s="53"/>
      <c r="B27" s="54"/>
      <c r="C27" s="53"/>
      <c r="D27" s="53"/>
      <c r="E27" s="54"/>
      <c r="F27" s="53"/>
      <c r="G27" s="54"/>
      <c r="H27" s="54"/>
      <c r="I27" s="54"/>
      <c r="J27" s="54"/>
      <c r="K27" s="54"/>
    </row>
    <row r="28" spans="1:11" s="50" customFormat="1" ht="20.100000000000001" customHeight="1">
      <c r="A28" s="222" t="s">
        <v>418</v>
      </c>
      <c r="B28" s="222"/>
      <c r="C28" s="222"/>
      <c r="D28" s="222"/>
      <c r="E28" s="222"/>
      <c r="F28" s="53"/>
      <c r="G28" s="54"/>
      <c r="H28" s="54"/>
      <c r="I28" s="54"/>
      <c r="J28" s="54"/>
      <c r="K28" s="54"/>
    </row>
    <row r="29" spans="1:11" s="50" customFormat="1" ht="20.100000000000001" customHeight="1">
      <c r="A29" s="68" t="s">
        <v>108</v>
      </c>
      <c r="B29" s="61" t="s">
        <v>477</v>
      </c>
      <c r="C29" s="63"/>
      <c r="D29" s="165" t="s">
        <v>70</v>
      </c>
      <c r="E29" s="62" t="s">
        <v>109</v>
      </c>
      <c r="F29" s="53"/>
      <c r="G29" s="54"/>
      <c r="H29" s="54"/>
      <c r="I29" s="54"/>
      <c r="J29" s="54"/>
      <c r="K29" s="54"/>
    </row>
    <row r="30" spans="1:11" s="50" customFormat="1" ht="20.100000000000001" customHeight="1">
      <c r="A30" s="68" t="s">
        <v>416</v>
      </c>
      <c r="B30" s="164" t="e">
        <f>IF(B29="T","",IF('(3a) A9 - Tyre Rolling Sound'!F20="VOID","VOID","VALID"))</f>
        <v>#DIV/0!</v>
      </c>
      <c r="C30" s="63"/>
      <c r="D30" s="98"/>
      <c r="E30" s="62" t="s">
        <v>417</v>
      </c>
      <c r="F30" s="53"/>
      <c r="G30" s="92" t="s">
        <v>124</v>
      </c>
      <c r="H30" s="92" t="s">
        <v>125</v>
      </c>
      <c r="I30" s="92" t="s">
        <v>126</v>
      </c>
      <c r="J30" s="54"/>
      <c r="K30" s="54"/>
    </row>
    <row r="31" spans="1:11" s="50" customFormat="1" ht="20.100000000000001" customHeight="1">
      <c r="A31" s="68" t="e">
        <f>IF(AND(B29="M",B30="VOID"),"Mandated x-factor from Parameter Table (T)",IF(AND(B29="M",B30="VALID"),"x-factor determined by Direct Measurement (M)","x-factor selected from Parameter Table (T)"))</f>
        <v>#DIV/0!</v>
      </c>
      <c r="B31" s="71" t="e">
        <f>IF(AND(B29="M",B30="VALID"),'(3a) A9 - Tyre Rolling Sound'!F20*100,LOOKUP(B4,'(4b) A9 - Parameter Table'!E3:G3,'(4b) A9 - Parameter Table'!E5:G5))</f>
        <v>#DIV/0!</v>
      </c>
      <c r="C31" s="63" t="s">
        <v>24</v>
      </c>
      <c r="D31" s="98"/>
      <c r="E31" s="93" t="s">
        <v>264</v>
      </c>
      <c r="F31" s="53"/>
      <c r="G31" s="92">
        <v>1</v>
      </c>
      <c r="H31" s="70">
        <f>IF(LEFT('(1) Vehicle Data'!C$7,2)="EV",30,'(1) Vehicle Data'!C60)</f>
        <v>30</v>
      </c>
      <c r="I31" s="132">
        <f t="shared" ref="I31:I40" si="0">IF(H31="","",$B$42/H31*$B$34)</f>
        <v>0</v>
      </c>
      <c r="J31" s="54"/>
      <c r="K31" s="54"/>
    </row>
    <row r="32" spans="1:11" s="50" customFormat="1" ht="20.100000000000001" customHeight="1">
      <c r="A32" s="53"/>
      <c r="B32" s="326"/>
      <c r="C32" s="326"/>
      <c r="D32" s="326"/>
      <c r="E32" s="54"/>
      <c r="F32" s="53"/>
      <c r="G32" s="92">
        <v>2</v>
      </c>
      <c r="H32" s="70">
        <f>IF(LEFT('(1) Vehicle Data'!C$7,2)="EV",30,'(1) Vehicle Data'!C61)</f>
        <v>30</v>
      </c>
      <c r="I32" s="132">
        <f t="shared" si="0"/>
        <v>0</v>
      </c>
      <c r="J32" s="54"/>
      <c r="K32" s="54"/>
    </row>
    <row r="33" spans="1:11" ht="20.100000000000001" customHeight="1">
      <c r="A33" s="213" t="s">
        <v>388</v>
      </c>
      <c r="B33" s="214"/>
      <c r="C33" s="214"/>
      <c r="D33" s="214"/>
      <c r="E33" s="215"/>
      <c r="F33" s="53"/>
      <c r="G33" s="92">
        <v>3</v>
      </c>
      <c r="H33" s="70">
        <f>IF(LEFT('(1) Vehicle Data'!C$7,2)="EV",30,'(1) Vehicle Data'!C62)</f>
        <v>30</v>
      </c>
      <c r="I33" s="132">
        <f t="shared" si="0"/>
        <v>0</v>
      </c>
      <c r="J33" s="54"/>
      <c r="K33" s="54"/>
    </row>
    <row r="34" spans="1:11" ht="20.100000000000001" customHeight="1">
      <c r="A34" s="68" t="s">
        <v>123</v>
      </c>
      <c r="B34" s="96"/>
      <c r="C34" s="63" t="s">
        <v>5</v>
      </c>
      <c r="D34" s="165" t="s">
        <v>70</v>
      </c>
      <c r="E34" s="130" t="s">
        <v>334</v>
      </c>
      <c r="F34" s="53"/>
      <c r="G34" s="92">
        <v>4</v>
      </c>
      <c r="H34" s="70">
        <f>IF(LEFT('(1) Vehicle Data'!C$7,2)="EV",30,'(1) Vehicle Data'!C63)</f>
        <v>30</v>
      </c>
      <c r="I34" s="132">
        <f t="shared" si="0"/>
        <v>0</v>
      </c>
      <c r="J34" s="54"/>
      <c r="K34" s="54"/>
    </row>
    <row r="35" spans="1:11" ht="20.100000000000001" customHeight="1">
      <c r="A35" s="68" t="s">
        <v>386</v>
      </c>
      <c r="B35" s="131" t="s">
        <v>478</v>
      </c>
      <c r="C35" s="63"/>
      <c r="D35" s="165" t="s">
        <v>70</v>
      </c>
      <c r="E35" s="68" t="s">
        <v>335</v>
      </c>
      <c r="F35" s="53"/>
      <c r="G35" s="92">
        <v>5</v>
      </c>
      <c r="H35" s="70">
        <f>IF(LEFT('(1) Vehicle Data'!C$7,2)="EV",30,'(1) Vehicle Data'!C64)</f>
        <v>30</v>
      </c>
      <c r="I35" s="132">
        <f t="shared" si="0"/>
        <v>0</v>
      </c>
      <c r="J35" s="54"/>
      <c r="K35" s="54"/>
    </row>
    <row r="36" spans="1:11" ht="20.100000000000001" customHeight="1">
      <c r="A36" s="68" t="s">
        <v>420</v>
      </c>
      <c r="B36" s="155"/>
      <c r="C36" s="63" t="s">
        <v>1</v>
      </c>
      <c r="D36" s="165" t="s">
        <v>70</v>
      </c>
      <c r="E36" s="93" t="s">
        <v>231</v>
      </c>
      <c r="F36" s="53"/>
      <c r="G36" s="92">
        <v>6</v>
      </c>
      <c r="H36" s="70">
        <f>IF(LEFT('(1) Vehicle Data'!C$7,2)="EV",30,'(1) Vehicle Data'!C65)</f>
        <v>30</v>
      </c>
      <c r="I36" s="132">
        <f t="shared" si="0"/>
        <v>0</v>
      </c>
      <c r="J36" s="54"/>
      <c r="K36" s="54"/>
    </row>
    <row r="37" spans="1:11" ht="20.100000000000001" customHeight="1">
      <c r="A37" s="68" t="s">
        <v>421</v>
      </c>
      <c r="B37" s="155"/>
      <c r="C37" s="63" t="s">
        <v>1</v>
      </c>
      <c r="D37" s="165" t="s">
        <v>70</v>
      </c>
      <c r="E37" s="93" t="s">
        <v>231</v>
      </c>
      <c r="F37" s="53"/>
      <c r="G37" s="92">
        <v>7</v>
      </c>
      <c r="H37" s="70">
        <f>IF(LEFT('(1) Vehicle Data'!C$7,2)="EV",30,'(1) Vehicle Data'!C66)</f>
        <v>30</v>
      </c>
      <c r="I37" s="132">
        <f t="shared" si="0"/>
        <v>0</v>
      </c>
      <c r="J37" s="54"/>
      <c r="K37" s="54"/>
    </row>
    <row r="38" spans="1:11" ht="20.100000000000001" customHeight="1">
      <c r="A38" s="68" t="s">
        <v>422</v>
      </c>
      <c r="B38" s="155"/>
      <c r="C38" s="63" t="s">
        <v>1</v>
      </c>
      <c r="D38" s="165" t="s">
        <v>70</v>
      </c>
      <c r="E38" s="93" t="s">
        <v>231</v>
      </c>
      <c r="F38" s="53"/>
      <c r="G38" s="92">
        <v>8</v>
      </c>
      <c r="H38" s="70">
        <f>IF(LEFT('(1) Vehicle Data'!C$7,2)="EV",30,'(1) Vehicle Data'!C67)</f>
        <v>30</v>
      </c>
      <c r="I38" s="132">
        <f t="shared" si="0"/>
        <v>0</v>
      </c>
      <c r="J38" s="54"/>
      <c r="K38" s="54"/>
    </row>
    <row r="39" spans="1:11" ht="20.100000000000001" customHeight="1">
      <c r="A39" s="68" t="s">
        <v>423</v>
      </c>
      <c r="B39" s="94"/>
      <c r="C39" s="63" t="s">
        <v>3</v>
      </c>
      <c r="D39" s="165" t="s">
        <v>70</v>
      </c>
      <c r="E39" s="62" t="s">
        <v>232</v>
      </c>
      <c r="F39" s="53"/>
      <c r="G39" s="92">
        <v>9</v>
      </c>
      <c r="H39" s="70">
        <f>IF(LEFT('(1) Vehicle Data'!C$7,2)="EV",30,'(1) Vehicle Data'!C68)</f>
        <v>30</v>
      </c>
      <c r="I39" s="132">
        <f t="shared" si="0"/>
        <v>0</v>
      </c>
      <c r="J39" s="54"/>
      <c r="K39" s="54"/>
    </row>
    <row r="40" spans="1:11" ht="19.899999999999999" customHeight="1">
      <c r="A40" s="68" t="s">
        <v>424</v>
      </c>
      <c r="B40" s="94"/>
      <c r="C40" s="63" t="s">
        <v>3</v>
      </c>
      <c r="D40" s="165" t="s">
        <v>70</v>
      </c>
      <c r="E40" s="62" t="s">
        <v>232</v>
      </c>
      <c r="G40" s="92">
        <v>10</v>
      </c>
      <c r="H40" s="70">
        <f>IF(LEFT('(1) Vehicle Data'!C$7,2)="EV",30,'(1) Vehicle Data'!C69)</f>
        <v>30</v>
      </c>
      <c r="I40" s="132">
        <f t="shared" si="0"/>
        <v>0</v>
      </c>
      <c r="J40" s="54"/>
    </row>
    <row r="41" spans="1:11" ht="18" hidden="1">
      <c r="A41" s="68" t="s">
        <v>425</v>
      </c>
      <c r="B41" s="94">
        <v>1696</v>
      </c>
      <c r="C41" s="63" t="s">
        <v>3</v>
      </c>
      <c r="D41" s="165" t="s">
        <v>70</v>
      </c>
      <c r="E41" s="62" t="s">
        <v>232</v>
      </c>
    </row>
    <row r="42" spans="1:11" ht="18" hidden="1">
      <c r="A42" s="68" t="s">
        <v>426</v>
      </c>
      <c r="B42" s="70">
        <f>IF(B35="D (EV)",30,IF(B35="D (HEV)",20,ROUND(B38/B41*1000,2)))</f>
        <v>30</v>
      </c>
      <c r="C42" s="63" t="s">
        <v>387</v>
      </c>
      <c r="D42" s="98"/>
      <c r="E42" s="130" t="s">
        <v>389</v>
      </c>
    </row>
  </sheetData>
  <sheetProtection algorithmName="SHA-512" hashValue="j8ZEbKu9ODZMKrvues1shAVrix44U9133gWBqf67lMhAEiql6DQ/a14tk6+NgJglinD3iEyEpkoNKJFAmUtAeg==" saltValue="uQBKMfg6CkPMjeIlllhGxg==" spinCount="100000" sheet="1" objects="1" scenarios="1"/>
  <customSheetViews>
    <customSheetView guid="{C0223898-2DB3-485F-A6E2-8575C6691491}" showPageBreaks="1">
      <selection activeCell="C24" sqref="C24"/>
      <pageMargins left="0.7" right="0.7" top="0.78740157499999996" bottom="0.78740157499999996" header="0.3" footer="0.3"/>
      <pageSetup paperSize="9" orientation="portrait" r:id="rId1"/>
    </customSheetView>
  </customSheetViews>
  <mergeCells count="15">
    <mergeCell ref="I19:J19"/>
    <mergeCell ref="J20:K20"/>
    <mergeCell ref="G20:H20"/>
    <mergeCell ref="G18:K18"/>
    <mergeCell ref="A1:E1"/>
    <mergeCell ref="G2:G4"/>
    <mergeCell ref="G10:G12"/>
    <mergeCell ref="H2:K2"/>
    <mergeCell ref="H10:K10"/>
    <mergeCell ref="A28:E28"/>
    <mergeCell ref="A33:E33"/>
    <mergeCell ref="A23:E23"/>
    <mergeCell ref="A17:E17"/>
    <mergeCell ref="A7:E7"/>
    <mergeCell ref="E18:E21"/>
  </mergeCells>
  <phoneticPr fontId="25" type="noConversion"/>
  <conditionalFormatting sqref="B30">
    <cfRule type="cellIs" dxfId="9" priority="1" operator="equal">
      <formula>"VOID"</formula>
    </cfRule>
  </conditionalFormatting>
  <dataValidations count="4">
    <dataValidation type="list" allowBlank="1" showInputMessage="1" showErrorMessage="1" sqref="B3" xr:uid="{DAC13762-6FB2-4D36-B013-6134AB965B61}">
      <formula1>"A,B,C"</formula1>
    </dataValidation>
    <dataValidation type="list" allowBlank="1" showInputMessage="1" showErrorMessage="1" sqref="B29" xr:uid="{F6546206-C8F8-405F-94AB-7B09807C7DA0}">
      <formula1>"T,M"</formula1>
    </dataValidation>
    <dataValidation type="list" allowBlank="1" showInputMessage="1" showErrorMessage="1" sqref="B12 B14" xr:uid="{5F9458A2-0E1F-4232-B3E0-37A7EB83B63F}">
      <formula1>"1,2,3,4,5,6"</formula1>
    </dataValidation>
    <dataValidation type="list" allowBlank="1" showInputMessage="1" showErrorMessage="1" sqref="B35" xr:uid="{59D6BA7D-D41F-40DD-8945-B50978113C4D}">
      <formula1>"1,2,3,4,5,D (ICE),D (EV),D (HEV)"</formula1>
    </dataValidation>
  </dataValidations>
  <pageMargins left="0.7" right="0.7" top="0.78740157499999996" bottom="0.78740157499999996" header="0.3" footer="0.3"/>
  <pageSetup paperSize="9" scale="41" orientation="portrait" r:id="rId2"/>
  <ignoredErrors>
    <ignoredError sqref="J5:J7 J15:J16"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42133-F48A-4907-B9D7-8158AC6CE279}">
  <sheetPr>
    <tabColor theme="9" tint="0.79998168889431442"/>
  </sheetPr>
  <dimension ref="A1:H20"/>
  <sheetViews>
    <sheetView zoomScaleNormal="100" workbookViewId="0">
      <selection sqref="A1:F1"/>
    </sheetView>
  </sheetViews>
  <sheetFormatPr baseColWidth="10" defaultColWidth="0" defaultRowHeight="15" zeroHeight="1"/>
  <cols>
    <col min="1" max="6" width="14.7109375" style="59" customWidth="1"/>
    <col min="7" max="8" width="0" style="59" hidden="1" customWidth="1"/>
    <col min="9" max="16384" width="11.42578125" style="59" hidden="1"/>
  </cols>
  <sheetData>
    <row r="1" spans="1:6" s="19" customFormat="1" ht="24.95" customHeight="1">
      <c r="A1" s="222" t="s">
        <v>172</v>
      </c>
      <c r="B1" s="222"/>
      <c r="C1" s="222"/>
      <c r="D1" s="222"/>
      <c r="E1" s="222"/>
      <c r="F1" s="222"/>
    </row>
    <row r="2" spans="1:6" s="19" customFormat="1" ht="24.95" customHeight="1">
      <c r="A2" s="245" t="s">
        <v>110</v>
      </c>
      <c r="B2" s="245"/>
      <c r="C2" s="245"/>
      <c r="D2" s="245"/>
      <c r="E2" s="245"/>
      <c r="F2" s="245"/>
    </row>
    <row r="3" spans="1:6" s="19" customFormat="1" ht="24.95" customHeight="1">
      <c r="A3" s="246" t="s">
        <v>48</v>
      </c>
      <c r="B3" s="69" t="s">
        <v>111</v>
      </c>
      <c r="C3" s="69" t="s">
        <v>112</v>
      </c>
      <c r="D3" s="69" t="s">
        <v>113</v>
      </c>
      <c r="E3" s="69" t="s">
        <v>114</v>
      </c>
      <c r="F3" s="69" t="s">
        <v>115</v>
      </c>
    </row>
    <row r="4" spans="1:6" s="19" customFormat="1" ht="24.95" customHeight="1">
      <c r="A4" s="247"/>
      <c r="B4" s="69" t="s">
        <v>266</v>
      </c>
      <c r="C4" s="69" t="s">
        <v>266</v>
      </c>
      <c r="D4" s="69" t="s">
        <v>266</v>
      </c>
      <c r="E4" s="69" t="s">
        <v>266</v>
      </c>
      <c r="F4" s="69" t="s">
        <v>265</v>
      </c>
    </row>
    <row r="5" spans="1:6" s="19" customFormat="1" ht="24.95" customHeight="1">
      <c r="A5" s="63">
        <v>1</v>
      </c>
      <c r="B5" s="82"/>
      <c r="C5" s="82"/>
      <c r="D5" s="82"/>
      <c r="E5" s="70" t="str">
        <f>IF(B5="","",MAX(B5:C5))</f>
        <v/>
      </c>
      <c r="F5" s="106" t="str">
        <f>IF(B5="","",ROUND(LOG(D5),2))</f>
        <v/>
      </c>
    </row>
    <row r="6" spans="1:6" s="19" customFormat="1" ht="24.95" customHeight="1">
      <c r="A6" s="63">
        <v>2</v>
      </c>
      <c r="B6" s="82"/>
      <c r="C6" s="82"/>
      <c r="D6" s="82"/>
      <c r="E6" s="70" t="str">
        <f t="shared" ref="E6:E14" si="0">IF(B6="","",MAX(B6:C6))</f>
        <v/>
      </c>
      <c r="F6" s="106" t="str">
        <f t="shared" ref="F6:F14" si="1">IF(B6="","",ROUND(LOG(D6),2))</f>
        <v/>
      </c>
    </row>
    <row r="7" spans="1:6" s="19" customFormat="1" ht="24.95" customHeight="1">
      <c r="A7" s="63">
        <v>3</v>
      </c>
      <c r="B7" s="82"/>
      <c r="C7" s="82"/>
      <c r="D7" s="82"/>
      <c r="E7" s="70" t="str">
        <f t="shared" si="0"/>
        <v/>
      </c>
      <c r="F7" s="106" t="str">
        <f t="shared" si="1"/>
        <v/>
      </c>
    </row>
    <row r="8" spans="1:6" s="19" customFormat="1" ht="24.95" customHeight="1">
      <c r="A8" s="63">
        <v>4</v>
      </c>
      <c r="B8" s="82"/>
      <c r="C8" s="82"/>
      <c r="D8" s="82"/>
      <c r="E8" s="70" t="str">
        <f t="shared" si="0"/>
        <v/>
      </c>
      <c r="F8" s="106" t="str">
        <f t="shared" si="1"/>
        <v/>
      </c>
    </row>
    <row r="9" spans="1:6" s="19" customFormat="1" ht="24.95" customHeight="1">
      <c r="A9" s="63">
        <v>5</v>
      </c>
      <c r="B9" s="82"/>
      <c r="C9" s="82"/>
      <c r="D9" s="82"/>
      <c r="E9" s="70" t="str">
        <f t="shared" si="0"/>
        <v/>
      </c>
      <c r="F9" s="106" t="str">
        <f t="shared" si="1"/>
        <v/>
      </c>
    </row>
    <row r="10" spans="1:6" s="19" customFormat="1" ht="24.95" customHeight="1">
      <c r="A10" s="63">
        <v>6</v>
      </c>
      <c r="B10" s="82"/>
      <c r="C10" s="82"/>
      <c r="D10" s="82"/>
      <c r="E10" s="70" t="str">
        <f t="shared" si="0"/>
        <v/>
      </c>
      <c r="F10" s="106" t="str">
        <f t="shared" si="1"/>
        <v/>
      </c>
    </row>
    <row r="11" spans="1:6" s="19" customFormat="1" ht="24.95" customHeight="1">
      <c r="A11" s="63">
        <v>7</v>
      </c>
      <c r="B11" s="82"/>
      <c r="C11" s="82"/>
      <c r="D11" s="82"/>
      <c r="E11" s="70" t="str">
        <f t="shared" si="0"/>
        <v/>
      </c>
      <c r="F11" s="106" t="str">
        <f t="shared" si="1"/>
        <v/>
      </c>
    </row>
    <row r="12" spans="1:6" s="19" customFormat="1" ht="24.95" customHeight="1">
      <c r="A12" s="63">
        <v>8</v>
      </c>
      <c r="B12" s="82"/>
      <c r="C12" s="82"/>
      <c r="D12" s="82"/>
      <c r="E12" s="70" t="str">
        <f t="shared" si="0"/>
        <v/>
      </c>
      <c r="F12" s="106" t="str">
        <f t="shared" si="1"/>
        <v/>
      </c>
    </row>
    <row r="13" spans="1:6" s="19" customFormat="1" ht="24.95" customHeight="1">
      <c r="A13" s="63">
        <v>9</v>
      </c>
      <c r="B13" s="82"/>
      <c r="C13" s="82"/>
      <c r="D13" s="82"/>
      <c r="E13" s="70" t="str">
        <f t="shared" si="0"/>
        <v/>
      </c>
      <c r="F13" s="106" t="str">
        <f t="shared" si="1"/>
        <v/>
      </c>
    </row>
    <row r="14" spans="1:6" s="19" customFormat="1" ht="24.95" customHeight="1">
      <c r="A14" s="63">
        <v>10</v>
      </c>
      <c r="B14" s="82"/>
      <c r="C14" s="82"/>
      <c r="D14" s="82"/>
      <c r="E14" s="70" t="str">
        <f t="shared" si="0"/>
        <v/>
      </c>
      <c r="F14" s="106" t="str">
        <f t="shared" si="1"/>
        <v/>
      </c>
    </row>
    <row r="15" spans="1:6" s="19" customFormat="1" ht="24.95" customHeight="1">
      <c r="A15" s="239" t="s">
        <v>178</v>
      </c>
      <c r="B15" s="240"/>
      <c r="C15" s="240"/>
      <c r="D15" s="241"/>
      <c r="E15" s="77" t="s">
        <v>177</v>
      </c>
      <c r="F15" s="76" t="e">
        <f>SLOPE(E5:E14,F5:F14)</f>
        <v>#DIV/0!</v>
      </c>
    </row>
    <row r="16" spans="1:6" s="19" customFormat="1" ht="24.95" customHeight="1">
      <c r="A16" s="239" t="s">
        <v>179</v>
      </c>
      <c r="B16" s="240"/>
      <c r="C16" s="240"/>
      <c r="D16" s="241"/>
      <c r="E16" s="77" t="s">
        <v>173</v>
      </c>
      <c r="F16" s="76" t="e">
        <f>INTERCEPT(E5:E14,F5:F14)</f>
        <v>#DIV/0!</v>
      </c>
    </row>
    <row r="17" spans="1:6" s="19" customFormat="1" ht="24.95" customHeight="1">
      <c r="A17" s="238" t="s">
        <v>175</v>
      </c>
      <c r="B17" s="238"/>
      <c r="C17" s="238"/>
      <c r="D17" s="238"/>
      <c r="E17" s="77" t="s">
        <v>176</v>
      </c>
      <c r="F17" s="76">
        <f>'(2) Annex 3 - Data'!C34</f>
        <v>0</v>
      </c>
    </row>
    <row r="18" spans="1:6" s="19" customFormat="1" ht="24.95" customHeight="1">
      <c r="A18" s="242" t="s">
        <v>174</v>
      </c>
      <c r="B18" s="243"/>
      <c r="C18" s="243"/>
      <c r="D18" s="244"/>
      <c r="E18" s="78" t="s">
        <v>173</v>
      </c>
      <c r="F18" s="79" t="e">
        <f>F15*LOG('(4) A9 - Test Report Sheet'!C5)+F16</f>
        <v>#DIV/0!</v>
      </c>
    </row>
    <row r="19" spans="1:6" s="19" customFormat="1" ht="24.95" customHeight="1">
      <c r="A19" s="239" t="s">
        <v>284</v>
      </c>
      <c r="B19" s="240"/>
      <c r="C19" s="240"/>
      <c r="D19" s="241"/>
      <c r="E19" s="77" t="s">
        <v>173</v>
      </c>
      <c r="F19" s="80">
        <f>'(2) Annex 3 - Data'!C33</f>
        <v>0</v>
      </c>
    </row>
    <row r="20" spans="1:6" ht="24.95" customHeight="1">
      <c r="A20" s="242" t="s">
        <v>180</v>
      </c>
      <c r="B20" s="243"/>
      <c r="C20" s="243"/>
      <c r="D20" s="244"/>
      <c r="E20" s="78" t="s">
        <v>24</v>
      </c>
      <c r="F20" s="81" t="e">
        <f>IF(10^(F18/10)/10^(F19/10)&gt;0.99,"VOID",10^(F18/10)/10^(F19/10))</f>
        <v>#DIV/0!</v>
      </c>
    </row>
  </sheetData>
  <sheetProtection algorithmName="SHA-512" hashValue="lG5URNspGXqa6lSWAy7kv+IWsiCV8V60NNOFF9UBRuHOfIWdF3uZuXN7Ja1s5Lzan3zJbHNyyx9Qb3e5jYTJFQ==" saltValue="Dy4PYZyFf9tlAvJFXMGAMQ==" spinCount="100000" sheet="1" objects="1" scenarios="1"/>
  <mergeCells count="9">
    <mergeCell ref="A1:F1"/>
    <mergeCell ref="A17:D17"/>
    <mergeCell ref="A16:D16"/>
    <mergeCell ref="A15:D15"/>
    <mergeCell ref="A20:D20"/>
    <mergeCell ref="A18:D18"/>
    <mergeCell ref="A2:F2"/>
    <mergeCell ref="A19:D19"/>
    <mergeCell ref="A3:A4"/>
  </mergeCells>
  <pageMargins left="0.7" right="0.7" top="0.78740157499999996" bottom="0.78740157499999996" header="0.3" footer="0.3"/>
  <pageSetup paperSize="9" scale="87" orientation="portrait" r:id="rId1"/>
  <ignoredErrors>
    <ignoredError sqref="E5:E1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E525F-AC23-489B-B10F-4538B55E085B}">
  <sheetPr>
    <tabColor theme="9" tint="0.79998168889431442"/>
    <pageSetUpPr fitToPage="1"/>
  </sheetPr>
  <dimension ref="A1:AP45"/>
  <sheetViews>
    <sheetView zoomScaleNormal="100" workbookViewId="0">
      <selection activeCell="B20" sqref="B20"/>
    </sheetView>
  </sheetViews>
  <sheetFormatPr baseColWidth="10" defaultColWidth="0" defaultRowHeight="15" zeroHeight="1"/>
  <cols>
    <col min="1" max="14" width="12.7109375" style="42" customWidth="1"/>
    <col min="15" max="15" width="30.7109375" style="19" customWidth="1"/>
    <col min="16" max="27" width="12.7109375" style="19" customWidth="1"/>
    <col min="28" max="28" width="11.42578125" style="19" hidden="1" customWidth="1"/>
    <col min="29" max="42" width="0" style="19" hidden="1" customWidth="1"/>
    <col min="43" max="16384" width="11.42578125" style="19" hidden="1"/>
  </cols>
  <sheetData>
    <row r="1" spans="1:28" ht="30" customHeight="1">
      <c r="A1" s="276" t="s">
        <v>165</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50"/>
    </row>
    <row r="2" spans="1:28" ht="9.9499999999999993" customHeight="1">
      <c r="A2" s="20"/>
      <c r="B2" s="20"/>
      <c r="C2" s="20"/>
      <c r="D2" s="20"/>
      <c r="E2" s="20"/>
      <c r="F2" s="20"/>
      <c r="G2" s="20"/>
      <c r="H2" s="20"/>
      <c r="I2" s="20"/>
      <c r="J2" s="20"/>
      <c r="K2" s="20"/>
      <c r="L2" s="20"/>
      <c r="M2" s="20"/>
      <c r="N2" s="20"/>
      <c r="O2" s="21"/>
      <c r="P2" s="21"/>
      <c r="Q2" s="21"/>
      <c r="R2" s="21"/>
      <c r="S2" s="21"/>
      <c r="T2" s="21"/>
      <c r="U2" s="21"/>
      <c r="V2" s="21"/>
      <c r="W2" s="21"/>
      <c r="X2" s="21"/>
      <c r="Y2" s="21"/>
      <c r="Z2" s="21"/>
      <c r="AA2" s="21"/>
      <c r="AB2" s="50"/>
    </row>
    <row r="3" spans="1:28" ht="20.100000000000001" customHeight="1">
      <c r="A3" s="309" t="s">
        <v>27</v>
      </c>
      <c r="B3" s="309"/>
      <c r="C3" s="309"/>
      <c r="D3" s="309"/>
      <c r="E3" s="20"/>
      <c r="F3" s="282" t="s">
        <v>30</v>
      </c>
      <c r="G3" s="282"/>
      <c r="H3" s="282"/>
      <c r="I3" s="282"/>
      <c r="J3" s="20"/>
      <c r="K3" s="283" t="s">
        <v>31</v>
      </c>
      <c r="L3" s="283"/>
      <c r="M3" s="283"/>
      <c r="N3" s="283"/>
      <c r="O3" s="21"/>
      <c r="P3" s="21"/>
      <c r="Q3" s="301" t="s">
        <v>29</v>
      </c>
      <c r="R3" s="302"/>
      <c r="S3" s="302"/>
      <c r="T3" s="303"/>
      <c r="U3" s="21"/>
      <c r="V3" s="21"/>
      <c r="W3" s="21"/>
      <c r="X3" s="284" t="s">
        <v>32</v>
      </c>
      <c r="Y3" s="284"/>
      <c r="Z3" s="284"/>
      <c r="AA3" s="284"/>
      <c r="AB3" s="50"/>
    </row>
    <row r="4" spans="1:28" ht="20.100000000000001" customHeight="1">
      <c r="A4" s="280" t="s">
        <v>149</v>
      </c>
      <c r="B4" s="281"/>
      <c r="C4" s="12" t="e">
        <f>10*LOG(C9/100*10^('(2) Annex 3 - Data'!C33/10))</f>
        <v>#DIV/0!</v>
      </c>
      <c r="D4" s="13" t="s">
        <v>4</v>
      </c>
      <c r="E4" s="20"/>
      <c r="F4" s="280" t="s">
        <v>150</v>
      </c>
      <c r="G4" s="281"/>
      <c r="H4" s="12" t="e">
        <f>10*LOG(10^('(2) Annex 3 - Data'!C33/10)-10^(C4/10))</f>
        <v>#DIV/0!</v>
      </c>
      <c r="I4" s="2" t="s">
        <v>4</v>
      </c>
      <c r="J4" s="20"/>
      <c r="K4" s="287" t="s">
        <v>151</v>
      </c>
      <c r="L4" s="288"/>
      <c r="M4" s="6" t="e">
        <f>'(4) A9 - Test Report Sheet'!H4-15</f>
        <v>#DIV/0!</v>
      </c>
      <c r="N4" s="7" t="s">
        <v>4</v>
      </c>
      <c r="O4" s="21"/>
      <c r="P4" s="21"/>
      <c r="Q4" s="306" t="s">
        <v>372</v>
      </c>
      <c r="R4" s="307"/>
      <c r="S4" s="5">
        <f>'(2) Annex 3 - Data'!C25/3.6*'(2) Annex 3 - Data'!C29</f>
        <v>0</v>
      </c>
      <c r="T4" s="9" t="s">
        <v>28</v>
      </c>
      <c r="U4" s="21"/>
      <c r="V4" s="21"/>
      <c r="W4" s="21"/>
      <c r="X4" s="285" t="s">
        <v>153</v>
      </c>
      <c r="Y4" s="286"/>
      <c r="Z4" s="22">
        <f>LOOKUP('(3) Annex 9 - Setup Data'!$B$4,'(4b) A9 - Parameter Table'!$E$3:$G$3,'(4b) A9 - Parameter Table'!E15:G15)</f>
        <v>0.17</v>
      </c>
      <c r="AA4" s="8"/>
      <c r="AB4" s="50"/>
    </row>
    <row r="5" spans="1:28" ht="20.100000000000001" customHeight="1">
      <c r="A5" s="250" t="s">
        <v>26</v>
      </c>
      <c r="B5" s="251"/>
      <c r="C5" s="23">
        <f>'(3) Annex 9 - Setup Data'!B5</f>
        <v>50</v>
      </c>
      <c r="D5" s="3" t="s">
        <v>1</v>
      </c>
      <c r="E5" s="20"/>
      <c r="F5" s="250"/>
      <c r="G5" s="251"/>
      <c r="H5" s="23"/>
      <c r="I5" s="3"/>
      <c r="J5" s="20"/>
      <c r="K5" s="287" t="s">
        <v>152</v>
      </c>
      <c r="L5" s="288"/>
      <c r="M5" s="6" t="e">
        <f>IF('(3) Annex 9 - Setup Data'!B26="Y",10,10*LOG(10^('(2) Annex 3 - Data'!C22/10)-10^((C7*LOG('(2) Annex 3 - Data'!C25/C5)+C4)/10)-10^((H7*LOG((M6+H9)/(H6+H9))+H4)/10))-M4)</f>
        <v>#NUM!</v>
      </c>
      <c r="N5" s="7" t="s">
        <v>4</v>
      </c>
      <c r="O5" s="21"/>
      <c r="P5" s="21"/>
      <c r="Q5" s="304" t="s">
        <v>33</v>
      </c>
      <c r="R5" s="305"/>
      <c r="S5" s="24">
        <f>LOOKUP('(3) Annex 9 - Setup Data'!$B$4,'(4b) A9 - Parameter Table'!$E$3:$G$3,'(4b) A9 - Parameter Table'!E14:G14)</f>
        <v>8</v>
      </c>
      <c r="T5" s="14"/>
      <c r="U5" s="21"/>
      <c r="V5" s="21"/>
      <c r="W5" s="21"/>
      <c r="X5" s="260" t="s">
        <v>154</v>
      </c>
      <c r="Y5" s="261"/>
      <c r="Z5" s="25">
        <f>LOOKUP('(3) Annex 9 - Setup Data'!$B$4,'(4b) A9 - Parameter Table'!$E$3:$G$3,'(4b) A9 - Parameter Table'!E16:G16)</f>
        <v>0.4</v>
      </c>
      <c r="AA5" s="14"/>
      <c r="AB5" s="50"/>
    </row>
    <row r="6" spans="1:28" ht="20.100000000000001" customHeight="1">
      <c r="A6" s="250"/>
      <c r="B6" s="251"/>
      <c r="C6" s="23"/>
      <c r="D6" s="3"/>
      <c r="E6" s="20"/>
      <c r="F6" s="250" t="s">
        <v>464</v>
      </c>
      <c r="G6" s="251"/>
      <c r="H6" s="15">
        <f>'(3) Annex 9 - Setup Data'!B21</f>
        <v>0</v>
      </c>
      <c r="I6" s="3" t="s">
        <v>3</v>
      </c>
      <c r="J6" s="20"/>
      <c r="K6" s="250" t="s">
        <v>127</v>
      </c>
      <c r="L6" s="251"/>
      <c r="M6" s="15">
        <f>'(3) Annex 9 - Setup Data'!B19</f>
        <v>0</v>
      </c>
      <c r="N6" s="3" t="s">
        <v>3</v>
      </c>
      <c r="O6" s="21"/>
      <c r="P6" s="21"/>
      <c r="Q6" s="21"/>
      <c r="R6" s="21"/>
      <c r="S6" s="21"/>
      <c r="T6" s="21"/>
      <c r="U6" s="21"/>
      <c r="V6" s="21"/>
      <c r="W6" s="21"/>
      <c r="X6" s="21"/>
      <c r="Y6" s="21"/>
      <c r="Z6" s="21"/>
      <c r="AA6" s="21"/>
      <c r="AB6" s="50"/>
    </row>
    <row r="7" spans="1:28" ht="20.100000000000001" customHeight="1">
      <c r="A7" s="254" t="s">
        <v>369</v>
      </c>
      <c r="B7" s="251"/>
      <c r="C7" s="23">
        <f>LOOKUP('(3) Annex 9 - Setup Data'!$B$4,'(4b) A9 - Parameter Table'!$E$3:$G$3,'(4b) A9 - Parameter Table'!E6:G6)</f>
        <v>20</v>
      </c>
      <c r="D7" s="3" t="s">
        <v>43</v>
      </c>
      <c r="E7" s="20"/>
      <c r="F7" s="254" t="s">
        <v>370</v>
      </c>
      <c r="G7" s="251"/>
      <c r="H7" s="23">
        <f>LOOKUP('(3) Annex 9 - Setup Data'!$B$4,'(4b) A9 - Parameter Table'!$E$3:$G$3,'(4b) A9 - Parameter Table'!E8:G8)</f>
        <v>60</v>
      </c>
      <c r="I7" s="3" t="s">
        <v>43</v>
      </c>
      <c r="J7" s="20"/>
      <c r="K7" s="254" t="s">
        <v>371</v>
      </c>
      <c r="L7" s="251"/>
      <c r="M7" s="23">
        <f>LOOKUP('(3) Annex 9 - Setup Data'!$B$4,'(4b) A9 - Parameter Table'!$E$3:$G$3,'(4b) A9 - Parameter Table'!E11:G11)</f>
        <v>50</v>
      </c>
      <c r="N7" s="3" t="s">
        <v>43</v>
      </c>
      <c r="O7" s="21"/>
      <c r="P7" s="21"/>
      <c r="Q7" s="257" t="s">
        <v>160</v>
      </c>
      <c r="R7" s="258"/>
      <c r="S7" s="258"/>
      <c r="T7" s="259"/>
      <c r="U7" s="21"/>
      <c r="V7" s="21"/>
      <c r="W7" s="21"/>
      <c r="X7" s="262" t="s">
        <v>138</v>
      </c>
      <c r="Y7" s="262"/>
      <c r="Z7" s="262"/>
      <c r="AA7" s="262"/>
      <c r="AB7" s="50"/>
    </row>
    <row r="8" spans="1:28" ht="20.100000000000001" customHeight="1">
      <c r="A8" s="254" t="s">
        <v>465</v>
      </c>
      <c r="B8" s="251"/>
      <c r="C8" s="23">
        <f>LOOKUP('(3) Annex 9 - Setup Data'!$B$4,'(4b) A9 - Parameter Table'!$E$3:$G$3,'(4b) A9 - Parameter Table'!E7:G7)</f>
        <v>40</v>
      </c>
      <c r="D8" s="3" t="s">
        <v>43</v>
      </c>
      <c r="E8" s="20"/>
      <c r="F8" s="254" t="s">
        <v>146</v>
      </c>
      <c r="G8" s="251"/>
      <c r="H8" s="23">
        <f>LOOKUP('(3) Annex 9 - Setup Data'!$B$4,'(4b) A9 - Parameter Table'!$E$3:$G$3,'(4b) A9 - Parameter Table'!E9:G9)</f>
        <v>85</v>
      </c>
      <c r="I8" s="3" t="s">
        <v>43</v>
      </c>
      <c r="J8" s="20"/>
      <c r="K8" s="254" t="s">
        <v>145</v>
      </c>
      <c r="L8" s="251"/>
      <c r="M8" s="23">
        <f>LOOKUP('(3) Annex 9 - Setup Data'!$B$4,'(4b) A9 - Parameter Table'!$E$3:$G$3,'(4b) A9 - Parameter Table'!E12:G12)</f>
        <v>75</v>
      </c>
      <c r="N8" s="3" t="s">
        <v>43</v>
      </c>
      <c r="O8" s="21"/>
      <c r="P8" s="21"/>
      <c r="Q8" s="255" t="s">
        <v>15</v>
      </c>
      <c r="R8" s="256"/>
      <c r="S8" s="22" t="str">
        <f>'(1) Vehicle Data'!C7</f>
        <v>EV (AVAS/SES)</v>
      </c>
      <c r="T8" s="85"/>
      <c r="U8" s="21"/>
      <c r="V8" s="21"/>
      <c r="W8" s="21"/>
      <c r="X8" s="255" t="s">
        <v>139</v>
      </c>
      <c r="Y8" s="256"/>
      <c r="Z8" s="22" t="str">
        <f>'(1) Vehicle Data'!C13</f>
        <v>N</v>
      </c>
      <c r="AA8" s="83"/>
      <c r="AB8" s="50"/>
    </row>
    <row r="9" spans="1:28" ht="20.100000000000001" customHeight="1">
      <c r="A9" s="252" t="s">
        <v>258</v>
      </c>
      <c r="B9" s="253"/>
      <c r="C9" s="24" t="e">
        <f>'(3) Annex 9 - Setup Data'!B31</f>
        <v>#DIV/0!</v>
      </c>
      <c r="D9" s="4" t="s">
        <v>24</v>
      </c>
      <c r="E9" s="20"/>
      <c r="F9" s="252" t="s">
        <v>147</v>
      </c>
      <c r="G9" s="253"/>
      <c r="H9" s="24">
        <f>LOOKUP('(3) Annex 9 - Setup Data'!$B$4,'(4b) A9 - Parameter Table'!$E$3:$G$3,'(4b) A9 - Parameter Table'!E10:G10)</f>
        <v>5000</v>
      </c>
      <c r="I9" s="4" t="s">
        <v>25</v>
      </c>
      <c r="J9" s="20"/>
      <c r="K9" s="252" t="s">
        <v>148</v>
      </c>
      <c r="L9" s="253"/>
      <c r="M9" s="24">
        <f>LOOKUP('(3) Annex 9 - Setup Data'!$B$4,'(4b) A9 - Parameter Table'!$E$3:$G$3,'(4b) A9 - Parameter Table'!E13:G13)</f>
        <v>5000</v>
      </c>
      <c r="N9" s="4" t="s">
        <v>25</v>
      </c>
      <c r="O9" s="21"/>
      <c r="P9" s="21"/>
      <c r="Q9" s="248" t="s">
        <v>86</v>
      </c>
      <c r="R9" s="249"/>
      <c r="S9" s="25" t="str">
        <f>IF(S8="HEV",'(1) Vehicle Data'!C9,"---")</f>
        <v>---</v>
      </c>
      <c r="T9" s="86"/>
      <c r="U9" s="21"/>
      <c r="V9" s="21"/>
      <c r="W9" s="21"/>
      <c r="X9" s="248" t="s">
        <v>373</v>
      </c>
      <c r="Y9" s="249"/>
      <c r="Z9" s="26">
        <f>'(3) Annex 9 - Setup Data'!B18</f>
        <v>0</v>
      </c>
      <c r="AA9" s="84" t="s">
        <v>4</v>
      </c>
      <c r="AB9" s="50"/>
    </row>
    <row r="10" spans="1:28" ht="9.9499999999999993" customHeight="1">
      <c r="A10" s="20"/>
      <c r="B10" s="20"/>
      <c r="C10" s="20"/>
      <c r="D10" s="20"/>
      <c r="E10" s="20"/>
      <c r="F10" s="20"/>
      <c r="G10" s="20"/>
      <c r="H10" s="20"/>
      <c r="I10" s="20"/>
      <c r="J10" s="20"/>
      <c r="K10" s="20"/>
      <c r="L10" s="20"/>
      <c r="M10" s="20"/>
      <c r="N10" s="20"/>
      <c r="O10" s="21"/>
      <c r="P10" s="21"/>
      <c r="Q10" s="21"/>
      <c r="R10" s="21"/>
      <c r="S10" s="21"/>
      <c r="T10" s="21"/>
      <c r="U10" s="21"/>
      <c r="V10" s="21"/>
      <c r="W10" s="21"/>
      <c r="X10" s="21"/>
      <c r="Y10" s="21"/>
      <c r="Z10" s="21"/>
      <c r="AA10" s="21"/>
      <c r="AB10" s="50"/>
    </row>
    <row r="11" spans="1:28" ht="20.100000000000001" customHeight="1">
      <c r="A11" s="27"/>
      <c r="B11" s="277" t="s">
        <v>46</v>
      </c>
      <c r="C11" s="277"/>
      <c r="D11" s="277"/>
      <c r="E11" s="277"/>
      <c r="F11" s="278" t="s">
        <v>47</v>
      </c>
      <c r="G11" s="278"/>
      <c r="H11" s="278"/>
      <c r="I11" s="278"/>
      <c r="J11" s="278"/>
      <c r="K11" s="278"/>
      <c r="L11" s="278"/>
      <c r="M11" s="278"/>
      <c r="N11" s="278"/>
      <c r="O11" s="278"/>
      <c r="P11" s="279" t="s">
        <v>272</v>
      </c>
      <c r="Q11" s="279"/>
      <c r="R11" s="279"/>
      <c r="S11" s="279"/>
      <c r="T11" s="279"/>
      <c r="U11" s="279"/>
      <c r="V11" s="279"/>
      <c r="W11" s="279"/>
      <c r="X11" s="279"/>
      <c r="Y11" s="272" t="s">
        <v>273</v>
      </c>
      <c r="Z11" s="273"/>
      <c r="AA11" s="274"/>
      <c r="AB11" s="50"/>
    </row>
    <row r="12" spans="1:28" ht="30" customHeight="1">
      <c r="A12" s="269" t="s">
        <v>48</v>
      </c>
      <c r="B12" s="308" t="s">
        <v>116</v>
      </c>
      <c r="C12" s="308" t="s">
        <v>49</v>
      </c>
      <c r="D12" s="308" t="s">
        <v>163</v>
      </c>
      <c r="E12" s="308" t="s">
        <v>117</v>
      </c>
      <c r="F12" s="269" t="s">
        <v>397</v>
      </c>
      <c r="G12" s="263" t="s">
        <v>50</v>
      </c>
      <c r="H12" s="264"/>
      <c r="I12" s="265"/>
      <c r="J12" s="269" t="s">
        <v>118</v>
      </c>
      <c r="K12" s="270" t="s">
        <v>162</v>
      </c>
      <c r="L12" s="28" t="s">
        <v>69</v>
      </c>
      <c r="M12" s="28" t="s">
        <v>69</v>
      </c>
      <c r="N12" s="269" t="s">
        <v>277</v>
      </c>
      <c r="O12" s="270" t="s">
        <v>274</v>
      </c>
      <c r="P12" s="269" t="s">
        <v>119</v>
      </c>
      <c r="Q12" s="270" t="s">
        <v>278</v>
      </c>
      <c r="R12" s="269" t="s">
        <v>51</v>
      </c>
      <c r="S12" s="270" t="s">
        <v>120</v>
      </c>
      <c r="T12" s="270" t="s">
        <v>122</v>
      </c>
      <c r="U12" s="270" t="s">
        <v>121</v>
      </c>
      <c r="V12" s="270" t="s">
        <v>279</v>
      </c>
      <c r="W12" s="269" t="s">
        <v>403</v>
      </c>
      <c r="X12" s="269" t="s">
        <v>140</v>
      </c>
      <c r="Y12" s="275" t="s">
        <v>52</v>
      </c>
      <c r="Z12" s="275" t="s">
        <v>161</v>
      </c>
      <c r="AA12" s="275" t="s">
        <v>53</v>
      </c>
      <c r="AB12" s="50"/>
    </row>
    <row r="13" spans="1:28" ht="30" customHeight="1">
      <c r="A13" s="269"/>
      <c r="B13" s="308"/>
      <c r="C13" s="308"/>
      <c r="D13" s="308"/>
      <c r="E13" s="308"/>
      <c r="F13" s="269"/>
      <c r="G13" s="266"/>
      <c r="H13" s="267"/>
      <c r="I13" s="268"/>
      <c r="J13" s="269"/>
      <c r="K13" s="271"/>
      <c r="L13" s="28" t="s">
        <v>54</v>
      </c>
      <c r="M13" s="28" t="s">
        <v>55</v>
      </c>
      <c r="N13" s="269"/>
      <c r="O13" s="275"/>
      <c r="P13" s="269"/>
      <c r="Q13" s="271"/>
      <c r="R13" s="269"/>
      <c r="S13" s="271"/>
      <c r="T13" s="271"/>
      <c r="U13" s="271"/>
      <c r="V13" s="271"/>
      <c r="W13" s="269"/>
      <c r="X13" s="269"/>
      <c r="Y13" s="271"/>
      <c r="Z13" s="271"/>
      <c r="AA13" s="271"/>
      <c r="AB13" s="50"/>
    </row>
    <row r="14" spans="1:28" ht="20.100000000000001" customHeight="1">
      <c r="A14" s="269" t="s">
        <v>56</v>
      </c>
      <c r="B14" s="308" t="s">
        <v>57</v>
      </c>
      <c r="C14" s="308" t="s">
        <v>269</v>
      </c>
      <c r="D14" s="99" t="s">
        <v>164</v>
      </c>
      <c r="E14" s="29"/>
      <c r="F14" s="28" t="s">
        <v>58</v>
      </c>
      <c r="G14" s="28" t="s">
        <v>59</v>
      </c>
      <c r="H14" s="28" t="s">
        <v>60</v>
      </c>
      <c r="I14" s="28" t="s">
        <v>61</v>
      </c>
      <c r="J14" s="28" t="s">
        <v>62</v>
      </c>
      <c r="K14" s="270" t="s">
        <v>24</v>
      </c>
      <c r="L14" s="28" t="s">
        <v>63</v>
      </c>
      <c r="M14" s="28" t="s">
        <v>64</v>
      </c>
      <c r="N14" s="289" t="s">
        <v>271</v>
      </c>
      <c r="O14" s="275"/>
      <c r="P14" s="28" t="s">
        <v>65</v>
      </c>
      <c r="Q14" s="270" t="s">
        <v>24</v>
      </c>
      <c r="R14" s="30" t="s">
        <v>66</v>
      </c>
      <c r="S14" s="28" t="s">
        <v>143</v>
      </c>
      <c r="T14" s="28" t="s">
        <v>142</v>
      </c>
      <c r="U14" s="28" t="s">
        <v>141</v>
      </c>
      <c r="V14" s="88" t="s">
        <v>130</v>
      </c>
      <c r="W14" s="88" t="s">
        <v>136</v>
      </c>
      <c r="X14" s="28" t="s">
        <v>67</v>
      </c>
      <c r="Y14" s="297" t="s">
        <v>270</v>
      </c>
      <c r="Z14" s="297"/>
      <c r="AA14" s="297"/>
      <c r="AB14" s="50"/>
    </row>
    <row r="15" spans="1:28" ht="20.100000000000001" customHeight="1">
      <c r="A15" s="269"/>
      <c r="B15" s="308"/>
      <c r="C15" s="308"/>
      <c r="D15" s="99" t="s">
        <v>1</v>
      </c>
      <c r="E15" s="29" t="s">
        <v>24</v>
      </c>
      <c r="F15" s="28" t="s">
        <v>8</v>
      </c>
      <c r="G15" s="28" t="s">
        <v>1</v>
      </c>
      <c r="H15" s="28" t="s">
        <v>1</v>
      </c>
      <c r="I15" s="28" t="s">
        <v>1</v>
      </c>
      <c r="J15" s="28" t="s">
        <v>3</v>
      </c>
      <c r="K15" s="271"/>
      <c r="L15" s="28" t="s">
        <v>4</v>
      </c>
      <c r="M15" s="28" t="s">
        <v>4</v>
      </c>
      <c r="N15" s="289"/>
      <c r="O15" s="275"/>
      <c r="P15" s="28" t="s">
        <v>5</v>
      </c>
      <c r="Q15" s="271"/>
      <c r="R15" s="28" t="s">
        <v>28</v>
      </c>
      <c r="S15" s="28" t="s">
        <v>4</v>
      </c>
      <c r="T15" s="28" t="s">
        <v>4</v>
      </c>
      <c r="U15" s="28" t="s">
        <v>4</v>
      </c>
      <c r="V15" s="28" t="s">
        <v>4</v>
      </c>
      <c r="W15" s="156" t="s">
        <v>4</v>
      </c>
      <c r="X15" s="28" t="s">
        <v>4</v>
      </c>
      <c r="Y15" s="297"/>
      <c r="Z15" s="297"/>
      <c r="AA15" s="297"/>
      <c r="AB15" s="50"/>
    </row>
    <row r="16" spans="1:28" ht="20.100000000000001" customHeight="1">
      <c r="A16" s="269"/>
      <c r="B16" s="308"/>
      <c r="C16" s="308"/>
      <c r="D16" s="100" t="s">
        <v>266</v>
      </c>
      <c r="E16" s="100" t="s">
        <v>268</v>
      </c>
      <c r="F16" s="101" t="s">
        <v>266</v>
      </c>
      <c r="G16" s="101" t="s">
        <v>266</v>
      </c>
      <c r="H16" s="101" t="s">
        <v>266</v>
      </c>
      <c r="I16" s="101" t="s">
        <v>266</v>
      </c>
      <c r="J16" s="101" t="s">
        <v>267</v>
      </c>
      <c r="K16" s="101" t="s">
        <v>268</v>
      </c>
      <c r="L16" s="101" t="s">
        <v>266</v>
      </c>
      <c r="M16" s="101" t="s">
        <v>266</v>
      </c>
      <c r="N16" s="289"/>
      <c r="O16" s="271"/>
      <c r="P16" s="101" t="s">
        <v>265</v>
      </c>
      <c r="Q16" s="101" t="s">
        <v>268</v>
      </c>
      <c r="R16" s="101" t="s">
        <v>266</v>
      </c>
      <c r="S16" s="101" t="s">
        <v>266</v>
      </c>
      <c r="T16" s="101" t="s">
        <v>266</v>
      </c>
      <c r="U16" s="101" t="s">
        <v>266</v>
      </c>
      <c r="V16" s="101" t="s">
        <v>266</v>
      </c>
      <c r="W16" s="101" t="s">
        <v>266</v>
      </c>
      <c r="X16" s="101" t="s">
        <v>266</v>
      </c>
      <c r="Y16" s="297"/>
      <c r="Z16" s="297"/>
      <c r="AA16" s="297"/>
      <c r="AB16" s="50"/>
    </row>
    <row r="17" spans="1:39" ht="20.100000000000001" customHeight="1">
      <c r="A17" s="31" t="s">
        <v>155</v>
      </c>
      <c r="B17" s="32"/>
      <c r="C17" s="32"/>
      <c r="D17" s="32"/>
      <c r="E17" s="32"/>
      <c r="F17" s="32"/>
      <c r="G17" s="32"/>
      <c r="H17" s="32"/>
      <c r="I17" s="32"/>
      <c r="J17" s="32"/>
      <c r="K17" s="32"/>
      <c r="L17" s="32"/>
      <c r="M17" s="32"/>
      <c r="N17" s="32"/>
      <c r="O17" s="32"/>
      <c r="P17" s="32"/>
      <c r="Q17" s="32"/>
      <c r="R17" s="32"/>
      <c r="S17" s="32"/>
      <c r="T17" s="32"/>
      <c r="U17" s="32"/>
      <c r="V17" s="32"/>
      <c r="W17" s="32"/>
      <c r="X17" s="32"/>
      <c r="Y17" s="33"/>
      <c r="Z17" s="33"/>
      <c r="AA17" s="34"/>
      <c r="AB17" s="50"/>
    </row>
    <row r="18" spans="1:39" ht="20.100000000000001" customHeight="1">
      <c r="A18" s="35">
        <v>1</v>
      </c>
      <c r="B18" s="43"/>
      <c r="C18" s="43"/>
      <c r="D18" s="160"/>
      <c r="E18" s="44"/>
      <c r="F18" s="46"/>
      <c r="G18" s="46"/>
      <c r="H18" s="46"/>
      <c r="I18" s="46"/>
      <c r="J18" s="47"/>
      <c r="K18" s="161"/>
      <c r="L18" s="46"/>
      <c r="M18" s="46"/>
      <c r="N18" s="36" t="str">
        <f>IF(B18="","",IF(AND(I18&lt;=100,J18&lt;=0.8*'(1) Vehicle Data'!$C$11,P18&lt;=4,R18&lt;=35),"VALID","VOID"))</f>
        <v/>
      </c>
      <c r="O18" s="48"/>
      <c r="P18" s="37" t="str">
        <f>IF(B18="","",MAX(0,((I18/3.6)^2-(H18/3.6)^2)/(20+2*'(2) Annex 3 - Data'!$C$12)))</f>
        <v/>
      </c>
      <c r="Q18" s="102" t="str">
        <f>IF(B18="","",'(4a) A9 - SUB Calculation'!D9/100)</f>
        <v/>
      </c>
      <c r="R18" s="38" t="str">
        <f>IF(B18="","",I18/3.6*P18)</f>
        <v/>
      </c>
      <c r="S18" s="38" t="str">
        <f>IF(B18="","",IF(I18&lt;=$C$5,$C$7*LOG(I18/$C$5)+$C$4,$C$8*LOG(I18/$C$5)+$C$4))</f>
        <v/>
      </c>
      <c r="T18" s="38" t="str">
        <f>IF(B18="","",IF('(4a) A9 - SUB Calculation'!E9&lt;=$H$6,$H$7*LOG(('(4a) A9 - SUB Calculation'!E9+$H$9)/($H$6+$H$9))+$H$4,$H$8*LOG(('(4a) A9 - SUB Calculation'!E9+$H$9)/($H$6+$H$9))+$H$4))</f>
        <v/>
      </c>
      <c r="U18" s="38" t="str">
        <f>IF(B18="","",IF('(4a) A9 - SUB Calculation'!E9&lt;=$M$6,$M$7*LOG(('(4a) A9 - SUB Calculation'!E9+$M$9)/($M$6+$M$9))+$M$4,$M$8*LOG(('(4a) A9 - SUB Calculation'!E9+$M$9)/($M$6+$M$9))+$M$4))</f>
        <v/>
      </c>
      <c r="V18" s="38" t="str">
        <f>'(4a) A9 - SUB Calculation'!H9</f>
        <v/>
      </c>
      <c r="W18" s="38" t="str">
        <f>IF(B18="","",'(4a) A9 - SUB Calculation'!F9)</f>
        <v/>
      </c>
      <c r="X18" s="38" t="str">
        <f>IF(B18="","",ROUND(10*LOG(10^(S18/10)+10^(T18/10)+10^((U18+V18)/10))+W18+2,1))</f>
        <v/>
      </c>
      <c r="Y18" s="39" t="str">
        <f>IF(B18="","",IF(MAX(L18:M18)-X18&lt;=0,1,""))</f>
        <v/>
      </c>
      <c r="Z18" s="39" t="str">
        <f>IF(B18="","",IF(AND(MAX(L18:M18)-X18&gt;0,MAX(L18:M18)-X18&lt;=2),1,""))</f>
        <v/>
      </c>
      <c r="AA18" s="39" t="str">
        <f>IF(B18="","",IF(MAX(L18:M18)&gt;X18+2,1,""))</f>
        <v/>
      </c>
      <c r="AB18" s="50"/>
      <c r="AM18" s="40"/>
    </row>
    <row r="19" spans="1:39" ht="20.100000000000001" customHeight="1">
      <c r="A19" s="35">
        <v>2</v>
      </c>
      <c r="B19" s="43"/>
      <c r="C19" s="43"/>
      <c r="D19" s="160"/>
      <c r="E19" s="44"/>
      <c r="F19" s="46"/>
      <c r="G19" s="46"/>
      <c r="H19" s="46"/>
      <c r="I19" s="46"/>
      <c r="J19" s="47"/>
      <c r="K19" s="161"/>
      <c r="L19" s="46"/>
      <c r="M19" s="46"/>
      <c r="N19" s="36" t="str">
        <f>IF(B19="","",IF(AND(I19&lt;=100,J19&lt;=0.8*'(1) Vehicle Data'!$C$11,P19&lt;=4,R19&lt;=35),"VALID","VOID"))</f>
        <v/>
      </c>
      <c r="O19" s="48"/>
      <c r="P19" s="37" t="str">
        <f>IF(B19="","",MAX(0,((I19/3.6)^2-(H19/3.6)^2)/(20+2*'(2) Annex 3 - Data'!$C$12)))</f>
        <v/>
      </c>
      <c r="Q19" s="102" t="str">
        <f>IF(B19="","",'(4a) A9 - SUB Calculation'!D10/100)</f>
        <v/>
      </c>
      <c r="R19" s="38" t="str">
        <f t="shared" ref="R19:R27" si="0">IF(B19="","",I19/3.6*P19)</f>
        <v/>
      </c>
      <c r="S19" s="38" t="str">
        <f t="shared" ref="S19:S32" si="1">IF(B19="","",IF(I19&lt;=$C$5,$C$7*LOG(I19/$C$5)+$C$4,$C$8*LOG(I19/$C$5)+$C$4))</f>
        <v/>
      </c>
      <c r="T19" s="38" t="str">
        <f>IF(B19="","",IF('(4a) A9 - SUB Calculation'!E10&lt;=$H$6,$H$7*LOG(('(4a) A9 - SUB Calculation'!E10+$H$9)/($H$6+$H$9))+$H$4,$H$8*LOG(('(4a) A9 - SUB Calculation'!E10+$H$9)/($H$6+$H$9))+$H$4))</f>
        <v/>
      </c>
      <c r="U19" s="38" t="str">
        <f>IF(B19="","",IF('(4a) A9 - SUB Calculation'!E10&lt;=$M$6,$M$7*LOG(('(4a) A9 - SUB Calculation'!E10+$M$9)/($M$6+$M$9))+$M$4,$M$8*LOG(('(4a) A9 - SUB Calculation'!E10+$M$9)/($M$6+$M$9))+$M$4))</f>
        <v/>
      </c>
      <c r="V19" s="38" t="str">
        <f>'(4a) A9 - SUB Calculation'!H10</f>
        <v/>
      </c>
      <c r="W19" s="38" t="str">
        <f>IF(B19="","",'(4a) A9 - SUB Calculation'!F10)</f>
        <v/>
      </c>
      <c r="X19" s="38" t="str">
        <f t="shared" ref="X19:X38" si="2">IF(B19="","",ROUND(10*LOG(10^(S19/10)+10^(T19/10)+10^((U19+V19)/10))+W19+2,1))</f>
        <v/>
      </c>
      <c r="Y19" s="39" t="str">
        <f t="shared" ref="Y19:Y38" si="3">IF(B19="","",IF(MAX(L19:M19)-X19&lt;=0,1,""))</f>
        <v/>
      </c>
      <c r="Z19" s="39" t="str">
        <f t="shared" ref="Z19:Z38" si="4">IF(B19="","",IF(AND(MAX(L19:M19)-X19&gt;0,MAX(L19:M19)-X19&lt;=2),1,""))</f>
        <v/>
      </c>
      <c r="AA19" s="39" t="str">
        <f t="shared" ref="AA19:AA38" si="5">IF(B19="","",IF(MAX(L19:M19)&gt;X19+2,1,""))</f>
        <v/>
      </c>
      <c r="AB19" s="50"/>
      <c r="AM19" s="40"/>
    </row>
    <row r="20" spans="1:39" ht="20.100000000000001" customHeight="1">
      <c r="A20" s="35">
        <v>3</v>
      </c>
      <c r="B20" s="43"/>
      <c r="C20" s="43"/>
      <c r="D20" s="160"/>
      <c r="E20" s="44"/>
      <c r="F20" s="46"/>
      <c r="G20" s="46"/>
      <c r="H20" s="46"/>
      <c r="I20" s="46"/>
      <c r="J20" s="47"/>
      <c r="K20" s="161"/>
      <c r="L20" s="46"/>
      <c r="M20" s="46"/>
      <c r="N20" s="36" t="str">
        <f>IF(B20="","",IF(AND(I20&lt;=100,J20&lt;=0.8*'(1) Vehicle Data'!$C$11,P20&lt;=4,R20&lt;=35),"VALID","VOID"))</f>
        <v/>
      </c>
      <c r="O20" s="48"/>
      <c r="P20" s="37" t="str">
        <f>IF(B20="","",MAX(0,((I20/3.6)^2-(H20/3.6)^2)/(20+2*'(2) Annex 3 - Data'!$C$12)))</f>
        <v/>
      </c>
      <c r="Q20" s="102" t="str">
        <f>IF(B20="","",'(4a) A9 - SUB Calculation'!D11/100)</f>
        <v/>
      </c>
      <c r="R20" s="38" t="str">
        <f t="shared" si="0"/>
        <v/>
      </c>
      <c r="S20" s="38" t="str">
        <f t="shared" si="1"/>
        <v/>
      </c>
      <c r="T20" s="38" t="str">
        <f>IF(B20="","",IF('(4a) A9 - SUB Calculation'!E11&lt;=$H$6,$H$7*LOG(('(4a) A9 - SUB Calculation'!E11+$H$9)/($H$6+$H$9))+$H$4,$H$8*LOG(('(4a) A9 - SUB Calculation'!E11+$H$9)/($H$6+$H$9))+$H$4))</f>
        <v/>
      </c>
      <c r="U20" s="38" t="str">
        <f>IF(B20="","",IF('(4a) A9 - SUB Calculation'!E11&lt;=$M$6,$M$7*LOG(('(4a) A9 - SUB Calculation'!E11+$M$9)/($M$6+$M$9))+$M$4,$M$8*LOG(('(4a) A9 - SUB Calculation'!E11+$M$9)/($M$6+$M$9))+$M$4))</f>
        <v/>
      </c>
      <c r="V20" s="38" t="str">
        <f>'(4a) A9 - SUB Calculation'!H11</f>
        <v/>
      </c>
      <c r="W20" s="38" t="str">
        <f>IF(B20="","",'(4a) A9 - SUB Calculation'!F11)</f>
        <v/>
      </c>
      <c r="X20" s="38" t="str">
        <f t="shared" si="2"/>
        <v/>
      </c>
      <c r="Y20" s="39" t="str">
        <f t="shared" si="3"/>
        <v/>
      </c>
      <c r="Z20" s="39" t="str">
        <f t="shared" si="4"/>
        <v/>
      </c>
      <c r="AA20" s="39" t="str">
        <f t="shared" si="5"/>
        <v/>
      </c>
      <c r="AB20" s="50"/>
      <c r="AM20" s="40"/>
    </row>
    <row r="21" spans="1:39" ht="20.100000000000001" customHeight="1">
      <c r="A21" s="35">
        <v>4</v>
      </c>
      <c r="B21" s="43"/>
      <c r="C21" s="43"/>
      <c r="D21" s="160"/>
      <c r="E21" s="44"/>
      <c r="F21" s="46"/>
      <c r="G21" s="46"/>
      <c r="H21" s="46"/>
      <c r="I21" s="46"/>
      <c r="J21" s="47"/>
      <c r="K21" s="161"/>
      <c r="L21" s="46"/>
      <c r="M21" s="46"/>
      <c r="N21" s="36" t="str">
        <f>IF(B21="","",IF(AND(I21&lt;=100,J21&lt;=0.8*'(1) Vehicle Data'!$C$11,P21&lt;=4,R21&lt;=35),"VALID","VOID"))</f>
        <v/>
      </c>
      <c r="O21" s="48"/>
      <c r="P21" s="37" t="str">
        <f>IF(B21="","",MAX(0,((I21/3.6)^2-(H21/3.6)^2)/(20+2*'(2) Annex 3 - Data'!$C$12)))</f>
        <v/>
      </c>
      <c r="Q21" s="102" t="str">
        <f>IF(B21="","",'(4a) A9 - SUB Calculation'!D12/100)</f>
        <v/>
      </c>
      <c r="R21" s="38" t="str">
        <f t="shared" si="0"/>
        <v/>
      </c>
      <c r="S21" s="38" t="str">
        <f t="shared" si="1"/>
        <v/>
      </c>
      <c r="T21" s="38" t="str">
        <f>IF(B21="","",IF('(4a) A9 - SUB Calculation'!E12&lt;=$H$6,$H$7*LOG(('(4a) A9 - SUB Calculation'!E12+$H$9)/($H$6+$H$9))+$H$4,$H$8*LOG(('(4a) A9 - SUB Calculation'!E12+$H$9)/($H$6+$H$9))+$H$4))</f>
        <v/>
      </c>
      <c r="U21" s="38" t="str">
        <f>IF(B21="","",IF('(4a) A9 - SUB Calculation'!E12&lt;=$M$6,$M$7*LOG(('(4a) A9 - SUB Calculation'!E12+$M$9)/($M$6+$M$9))+$M$4,$M$8*LOG(('(4a) A9 - SUB Calculation'!E12+$M$9)/($M$6+$M$9))+$M$4))</f>
        <v/>
      </c>
      <c r="V21" s="38" t="str">
        <f>'(4a) A9 - SUB Calculation'!H12</f>
        <v/>
      </c>
      <c r="W21" s="38" t="str">
        <f>IF(B21="","",'(4a) A9 - SUB Calculation'!F12)</f>
        <v/>
      </c>
      <c r="X21" s="38" t="str">
        <f t="shared" si="2"/>
        <v/>
      </c>
      <c r="Y21" s="39" t="str">
        <f t="shared" si="3"/>
        <v/>
      </c>
      <c r="Z21" s="39" t="str">
        <f t="shared" si="4"/>
        <v/>
      </c>
      <c r="AA21" s="39" t="str">
        <f t="shared" si="5"/>
        <v/>
      </c>
      <c r="AB21" s="50"/>
      <c r="AM21" s="40"/>
    </row>
    <row r="22" spans="1:39" ht="20.100000000000001" customHeight="1">
      <c r="A22" s="35">
        <v>5</v>
      </c>
      <c r="B22" s="43"/>
      <c r="C22" s="43"/>
      <c r="D22" s="160"/>
      <c r="E22" s="44"/>
      <c r="F22" s="46"/>
      <c r="G22" s="46"/>
      <c r="H22" s="46"/>
      <c r="I22" s="46"/>
      <c r="J22" s="47"/>
      <c r="K22" s="161"/>
      <c r="L22" s="46"/>
      <c r="M22" s="46"/>
      <c r="N22" s="36" t="str">
        <f>IF(B22="","",IF(AND(I22&lt;=100,J22&lt;=0.8*'(1) Vehicle Data'!$C$11,P22&lt;=4,R22&lt;=35),"VALID","VOID"))</f>
        <v/>
      </c>
      <c r="O22" s="48"/>
      <c r="P22" s="37" t="str">
        <f>IF(B22="","",MAX(0,((I22/3.6)^2-(H22/3.6)^2)/(20+2*'(2) Annex 3 - Data'!$C$12)))</f>
        <v/>
      </c>
      <c r="Q22" s="102" t="str">
        <f>IF(B22="","",'(4a) A9 - SUB Calculation'!D13/100)</f>
        <v/>
      </c>
      <c r="R22" s="38" t="str">
        <f t="shared" si="0"/>
        <v/>
      </c>
      <c r="S22" s="38" t="str">
        <f t="shared" si="1"/>
        <v/>
      </c>
      <c r="T22" s="38" t="str">
        <f>IF(B22="","",IF('(4a) A9 - SUB Calculation'!E13&lt;=$H$6,$H$7*LOG(('(4a) A9 - SUB Calculation'!E13+$H$9)/($H$6+$H$9))+$H$4,$H$8*LOG(('(4a) A9 - SUB Calculation'!E13+$H$9)/($H$6+$H$9))+$H$4))</f>
        <v/>
      </c>
      <c r="U22" s="38" t="str">
        <f>IF(B22="","",IF('(4a) A9 - SUB Calculation'!E13&lt;=$M$6,$M$7*LOG(('(4a) A9 - SUB Calculation'!E13+$M$9)/($M$6+$M$9))+$M$4,$M$8*LOG(('(4a) A9 - SUB Calculation'!E13+$M$9)/($M$6+$M$9))+$M$4))</f>
        <v/>
      </c>
      <c r="V22" s="38" t="str">
        <f>'(4a) A9 - SUB Calculation'!H13</f>
        <v/>
      </c>
      <c r="W22" s="38" t="str">
        <f>IF(B22="","",'(4a) A9 - SUB Calculation'!F13)</f>
        <v/>
      </c>
      <c r="X22" s="38" t="str">
        <f t="shared" si="2"/>
        <v/>
      </c>
      <c r="Y22" s="39" t="str">
        <f t="shared" si="3"/>
        <v/>
      </c>
      <c r="Z22" s="39" t="str">
        <f t="shared" si="4"/>
        <v/>
      </c>
      <c r="AA22" s="39" t="str">
        <f t="shared" si="5"/>
        <v/>
      </c>
      <c r="AB22" s="50"/>
      <c r="AM22" s="40"/>
    </row>
    <row r="23" spans="1:39" ht="20.100000000000001" customHeight="1">
      <c r="A23" s="35">
        <v>6</v>
      </c>
      <c r="B23" s="43"/>
      <c r="C23" s="43"/>
      <c r="D23" s="160"/>
      <c r="E23" s="44"/>
      <c r="F23" s="46"/>
      <c r="G23" s="46"/>
      <c r="H23" s="46"/>
      <c r="I23" s="46"/>
      <c r="J23" s="47"/>
      <c r="K23" s="161"/>
      <c r="L23" s="46"/>
      <c r="M23" s="46"/>
      <c r="N23" s="36" t="str">
        <f>IF(B23="","",IF(AND(I23&lt;=100,J23&lt;=0.8*'(1) Vehicle Data'!$C$11,P23&lt;=4,R23&lt;=35),"VALID","VOID"))</f>
        <v/>
      </c>
      <c r="O23" s="48"/>
      <c r="P23" s="37" t="str">
        <f>IF(B23="","",MAX(0,((I23/3.6)^2-(H23/3.6)^2)/(20+2*'(2) Annex 3 - Data'!$C$12)))</f>
        <v/>
      </c>
      <c r="Q23" s="102" t="str">
        <f>IF(B23="","",'(4a) A9 - SUB Calculation'!D14/100)</f>
        <v/>
      </c>
      <c r="R23" s="38" t="str">
        <f t="shared" si="0"/>
        <v/>
      </c>
      <c r="S23" s="38" t="str">
        <f t="shared" si="1"/>
        <v/>
      </c>
      <c r="T23" s="38" t="str">
        <f>IF(B23="","",IF('(4a) A9 - SUB Calculation'!E14&lt;=$H$6,$H$7*LOG(('(4a) A9 - SUB Calculation'!E14+$H$9)/($H$6+$H$9))+$H$4,$H$8*LOG(('(4a) A9 - SUB Calculation'!E14+$H$9)/($H$6+$H$9))+$H$4))</f>
        <v/>
      </c>
      <c r="U23" s="38" t="str">
        <f>IF(B23="","",IF('(4a) A9 - SUB Calculation'!E14&lt;=$M$6,$M$7*LOG(('(4a) A9 - SUB Calculation'!E14+$M$9)/($M$6+$M$9))+$M$4,$M$8*LOG(('(4a) A9 - SUB Calculation'!E14+$M$9)/($M$6+$M$9))+$M$4))</f>
        <v/>
      </c>
      <c r="V23" s="38" t="str">
        <f>'(4a) A9 - SUB Calculation'!H14</f>
        <v/>
      </c>
      <c r="W23" s="38" t="str">
        <f>IF(B23="","",'(4a) A9 - SUB Calculation'!F14)</f>
        <v/>
      </c>
      <c r="X23" s="38" t="str">
        <f t="shared" si="2"/>
        <v/>
      </c>
      <c r="Y23" s="39" t="str">
        <f t="shared" si="3"/>
        <v/>
      </c>
      <c r="Z23" s="39" t="str">
        <f t="shared" si="4"/>
        <v/>
      </c>
      <c r="AA23" s="39" t="str">
        <f t="shared" si="5"/>
        <v/>
      </c>
      <c r="AB23" s="50"/>
      <c r="AM23" s="40"/>
    </row>
    <row r="24" spans="1:39" ht="20.100000000000001" customHeight="1">
      <c r="A24" s="35">
        <v>7</v>
      </c>
      <c r="B24" s="43"/>
      <c r="C24" s="43"/>
      <c r="D24" s="160"/>
      <c r="E24" s="44"/>
      <c r="F24" s="46"/>
      <c r="G24" s="46"/>
      <c r="H24" s="46"/>
      <c r="I24" s="46"/>
      <c r="J24" s="47"/>
      <c r="K24" s="161"/>
      <c r="L24" s="46"/>
      <c r="M24" s="46"/>
      <c r="N24" s="36" t="str">
        <f>IF(B24="","",IF(AND(I24&lt;=100,J24&lt;=0.8*'(1) Vehicle Data'!$C$11,P24&lt;=4,R24&lt;=35),"VALID","VOID"))</f>
        <v/>
      </c>
      <c r="O24" s="48"/>
      <c r="P24" s="37" t="str">
        <f>IF(B24="","",MAX(0,((I24/3.6)^2-(H24/3.6)^2)/(20+2*'(2) Annex 3 - Data'!$C$12)))</f>
        <v/>
      </c>
      <c r="Q24" s="102" t="str">
        <f>IF(B24="","",'(4a) A9 - SUB Calculation'!D15/100)</f>
        <v/>
      </c>
      <c r="R24" s="38" t="str">
        <f t="shared" si="0"/>
        <v/>
      </c>
      <c r="S24" s="38" t="str">
        <f t="shared" si="1"/>
        <v/>
      </c>
      <c r="T24" s="38" t="str">
        <f>IF(B24="","",IF('(4a) A9 - SUB Calculation'!E15&lt;=$H$6,$H$7*LOG(('(4a) A9 - SUB Calculation'!E15+$H$9)/($H$6+$H$9))+$H$4,$H$8*LOG(('(4a) A9 - SUB Calculation'!E15+$H$9)/($H$6+$H$9))+$H$4))</f>
        <v/>
      </c>
      <c r="U24" s="38" t="str">
        <f>IF(B24="","",IF('(4a) A9 - SUB Calculation'!E15&lt;=$M$6,$M$7*LOG(('(4a) A9 - SUB Calculation'!E15+$M$9)/($M$6+$M$9))+$M$4,$M$8*LOG(('(4a) A9 - SUB Calculation'!E15+$M$9)/($M$6+$M$9))+$M$4))</f>
        <v/>
      </c>
      <c r="V24" s="38" t="str">
        <f>'(4a) A9 - SUB Calculation'!H15</f>
        <v/>
      </c>
      <c r="W24" s="38" t="str">
        <f>IF(B24="","",'(4a) A9 - SUB Calculation'!F15)</f>
        <v/>
      </c>
      <c r="X24" s="38" t="str">
        <f t="shared" si="2"/>
        <v/>
      </c>
      <c r="Y24" s="39" t="str">
        <f t="shared" si="3"/>
        <v/>
      </c>
      <c r="Z24" s="39" t="str">
        <f t="shared" si="4"/>
        <v/>
      </c>
      <c r="AA24" s="39" t="str">
        <f t="shared" si="5"/>
        <v/>
      </c>
      <c r="AB24" s="50"/>
      <c r="AM24" s="40"/>
    </row>
    <row r="25" spans="1:39" ht="20.100000000000001" customHeight="1">
      <c r="A25" s="35">
        <v>8</v>
      </c>
      <c r="B25" s="43"/>
      <c r="C25" s="43"/>
      <c r="D25" s="160"/>
      <c r="E25" s="44"/>
      <c r="F25" s="46"/>
      <c r="G25" s="46"/>
      <c r="H25" s="46"/>
      <c r="I25" s="46"/>
      <c r="J25" s="47"/>
      <c r="K25" s="161"/>
      <c r="L25" s="46"/>
      <c r="M25" s="46"/>
      <c r="N25" s="36" t="str">
        <f>IF(B25="","",IF(AND(I25&lt;=100,J25&lt;=0.8*'(1) Vehicle Data'!$C$11,P25&lt;=4,R25&lt;=35),"VALID","VOID"))</f>
        <v/>
      </c>
      <c r="O25" s="45"/>
      <c r="P25" s="37" t="str">
        <f>IF(B25="","",MAX(0,((I25/3.6)^2-(H25/3.6)^2)/(20+2*'(2) Annex 3 - Data'!$C$12)))</f>
        <v/>
      </c>
      <c r="Q25" s="102" t="str">
        <f>IF(B25="","",'(4a) A9 - SUB Calculation'!D16/100)</f>
        <v/>
      </c>
      <c r="R25" s="38" t="str">
        <f t="shared" si="0"/>
        <v/>
      </c>
      <c r="S25" s="38" t="str">
        <f t="shared" si="1"/>
        <v/>
      </c>
      <c r="T25" s="38" t="str">
        <f>IF(B25="","",IF('(4a) A9 - SUB Calculation'!E16&lt;=$H$6,$H$7*LOG(('(4a) A9 - SUB Calculation'!E16+$H$9)/($H$6+$H$9))+$H$4,$H$8*LOG(('(4a) A9 - SUB Calculation'!E16+$H$9)/($H$6+$H$9))+$H$4))</f>
        <v/>
      </c>
      <c r="U25" s="38" t="str">
        <f>IF(B25="","",IF('(4a) A9 - SUB Calculation'!E16&lt;=$M$6,$M$7*LOG(('(4a) A9 - SUB Calculation'!E16+$M$9)/($M$6+$M$9))+$M$4,$M$8*LOG(('(4a) A9 - SUB Calculation'!E16+$M$9)/($M$6+$M$9))+$M$4))</f>
        <v/>
      </c>
      <c r="V25" s="38" t="str">
        <f>'(4a) A9 - SUB Calculation'!H16</f>
        <v/>
      </c>
      <c r="W25" s="38" t="str">
        <f>IF(B25="","",'(4a) A9 - SUB Calculation'!F16)</f>
        <v/>
      </c>
      <c r="X25" s="38" t="str">
        <f t="shared" si="2"/>
        <v/>
      </c>
      <c r="Y25" s="39" t="str">
        <f t="shared" si="3"/>
        <v/>
      </c>
      <c r="Z25" s="39" t="str">
        <f t="shared" si="4"/>
        <v/>
      </c>
      <c r="AA25" s="39" t="str">
        <f t="shared" si="5"/>
        <v/>
      </c>
      <c r="AB25" s="50"/>
      <c r="AM25" s="40"/>
    </row>
    <row r="26" spans="1:39" ht="20.100000000000001" customHeight="1">
      <c r="A26" s="35">
        <v>9</v>
      </c>
      <c r="B26" s="43"/>
      <c r="C26" s="43"/>
      <c r="D26" s="160"/>
      <c r="E26" s="44"/>
      <c r="F26" s="46"/>
      <c r="G26" s="46"/>
      <c r="H26" s="46"/>
      <c r="I26" s="46"/>
      <c r="J26" s="47"/>
      <c r="K26" s="161"/>
      <c r="L26" s="46"/>
      <c r="M26" s="46"/>
      <c r="N26" s="36" t="str">
        <f>IF(B26="","",IF(AND(I26&lt;=100,J26&lt;=0.8*'(1) Vehicle Data'!$C$11,P26&lt;=4,R26&lt;=35),"VALID","VOID"))</f>
        <v/>
      </c>
      <c r="O26" s="45"/>
      <c r="P26" s="37" t="str">
        <f>IF(B26="","",MAX(0,((I26/3.6)^2-(H26/3.6)^2)/(20+2*'(2) Annex 3 - Data'!$C$12)))</f>
        <v/>
      </c>
      <c r="Q26" s="102" t="str">
        <f>IF(B26="","",'(4a) A9 - SUB Calculation'!D17/100)</f>
        <v/>
      </c>
      <c r="R26" s="38" t="str">
        <f t="shared" si="0"/>
        <v/>
      </c>
      <c r="S26" s="38" t="str">
        <f t="shared" si="1"/>
        <v/>
      </c>
      <c r="T26" s="38" t="str">
        <f>IF(B26="","",IF('(4a) A9 - SUB Calculation'!E17&lt;=$H$6,$H$7*LOG(('(4a) A9 - SUB Calculation'!E17+$H$9)/($H$6+$H$9))+$H$4,$H$8*LOG(('(4a) A9 - SUB Calculation'!E17+$H$9)/($H$6+$H$9))+$H$4))</f>
        <v/>
      </c>
      <c r="U26" s="38" t="str">
        <f>IF(B26="","",IF('(4a) A9 - SUB Calculation'!E17&lt;=$M$6,$M$7*LOG(('(4a) A9 - SUB Calculation'!E17+$M$9)/($M$6+$M$9))+$M$4,$M$8*LOG(('(4a) A9 - SUB Calculation'!E17+$M$9)/($M$6+$M$9))+$M$4))</f>
        <v/>
      </c>
      <c r="V26" s="38" t="str">
        <f>'(4a) A9 - SUB Calculation'!H17</f>
        <v/>
      </c>
      <c r="W26" s="38" t="str">
        <f>IF(B26="","",'(4a) A9 - SUB Calculation'!F17)</f>
        <v/>
      </c>
      <c r="X26" s="38" t="str">
        <f t="shared" si="2"/>
        <v/>
      </c>
      <c r="Y26" s="39" t="str">
        <f t="shared" si="3"/>
        <v/>
      </c>
      <c r="Z26" s="39" t="str">
        <f t="shared" si="4"/>
        <v/>
      </c>
      <c r="AA26" s="39" t="str">
        <f t="shared" si="5"/>
        <v/>
      </c>
      <c r="AB26" s="50"/>
      <c r="AM26" s="40"/>
    </row>
    <row r="27" spans="1:39" ht="20.100000000000001" customHeight="1">
      <c r="A27" s="35">
        <v>10</v>
      </c>
      <c r="B27" s="43"/>
      <c r="C27" s="43"/>
      <c r="D27" s="160"/>
      <c r="E27" s="44"/>
      <c r="F27" s="46"/>
      <c r="G27" s="46"/>
      <c r="H27" s="46"/>
      <c r="I27" s="46"/>
      <c r="J27" s="47"/>
      <c r="K27" s="161"/>
      <c r="L27" s="46"/>
      <c r="M27" s="46"/>
      <c r="N27" s="36" t="str">
        <f>IF(B27="","",IF(AND(I27&lt;=100,J27&lt;=0.8*'(1) Vehicle Data'!$C$11,P27&lt;=4,R27&lt;=35),"VALID","VOID"))</f>
        <v/>
      </c>
      <c r="O27" s="45"/>
      <c r="P27" s="37" t="str">
        <f>IF(B27="","",MAX(0,((I27/3.6)^2-(H27/3.6)^2)/(20+2*'(2) Annex 3 - Data'!$C$12)))</f>
        <v/>
      </c>
      <c r="Q27" s="102" t="str">
        <f>IF(B27="","",'(4a) A9 - SUB Calculation'!D18/100)</f>
        <v/>
      </c>
      <c r="R27" s="38" t="str">
        <f t="shared" si="0"/>
        <v/>
      </c>
      <c r="S27" s="38" t="str">
        <f t="shared" si="1"/>
        <v/>
      </c>
      <c r="T27" s="38" t="str">
        <f>IF(B27="","",IF('(4a) A9 - SUB Calculation'!E18&lt;=$H$6,$H$7*LOG(('(4a) A9 - SUB Calculation'!E18+$H$9)/($H$6+$H$9))+$H$4,$H$8*LOG(('(4a) A9 - SUB Calculation'!E18+$H$9)/($H$6+$H$9))+$H$4))</f>
        <v/>
      </c>
      <c r="U27" s="38" t="str">
        <f>IF(B27="","",IF('(4a) A9 - SUB Calculation'!E18&lt;=$M$6,$M$7*LOG(('(4a) A9 - SUB Calculation'!E18+$M$9)/($M$6+$M$9))+$M$4,$M$8*LOG(('(4a) A9 - SUB Calculation'!E18+$M$9)/($M$6+$M$9))+$M$4))</f>
        <v/>
      </c>
      <c r="V27" s="38" t="str">
        <f>'(4a) A9 - SUB Calculation'!H18</f>
        <v/>
      </c>
      <c r="W27" s="38" t="str">
        <f>IF(B27="","",'(4a) A9 - SUB Calculation'!F18)</f>
        <v/>
      </c>
      <c r="X27" s="38" t="str">
        <f t="shared" si="2"/>
        <v/>
      </c>
      <c r="Y27" s="39" t="str">
        <f t="shared" si="3"/>
        <v/>
      </c>
      <c r="Z27" s="39" t="str">
        <f t="shared" si="4"/>
        <v/>
      </c>
      <c r="AA27" s="39" t="str">
        <f t="shared" si="5"/>
        <v/>
      </c>
      <c r="AB27" s="50"/>
      <c r="AM27" s="40"/>
    </row>
    <row r="28" spans="1:39" ht="20.100000000000001" customHeight="1">
      <c r="A28" s="35">
        <v>11</v>
      </c>
      <c r="B28" s="43"/>
      <c r="C28" s="43"/>
      <c r="D28" s="160"/>
      <c r="E28" s="44"/>
      <c r="F28" s="46"/>
      <c r="G28" s="46"/>
      <c r="H28" s="46"/>
      <c r="I28" s="46"/>
      <c r="J28" s="47"/>
      <c r="K28" s="161"/>
      <c r="L28" s="46"/>
      <c r="M28" s="46"/>
      <c r="N28" s="36" t="str">
        <f>IF(B28="","",IF(AND(I28&lt;=100,J28&lt;=0.8*'(1) Vehicle Data'!$C$11,P28&lt;=4,R28&lt;=35),"VALID","VOID"))</f>
        <v/>
      </c>
      <c r="O28" s="45"/>
      <c r="P28" s="37" t="str">
        <f>IF(B28="","",MAX(0,((I28/3.6)^2-(H28/3.6)^2)/(20+2*'(2) Annex 3 - Data'!$C$12)))</f>
        <v/>
      </c>
      <c r="Q28" s="102" t="str">
        <f>IF(B28="","",'(4a) A9 - SUB Calculation'!D19/100)</f>
        <v/>
      </c>
      <c r="R28" s="38" t="str">
        <f t="shared" ref="R28:R32" si="6">IF(B28="","",I28/3.6*P28)</f>
        <v/>
      </c>
      <c r="S28" s="38" t="str">
        <f t="shared" si="1"/>
        <v/>
      </c>
      <c r="T28" s="38" t="str">
        <f>IF(B28="","",IF('(4a) A9 - SUB Calculation'!E19&lt;=$H$6,$H$7*LOG(('(4a) A9 - SUB Calculation'!E19+$H$9)/($H$6+$H$9))+$H$4,$H$8*LOG(('(4a) A9 - SUB Calculation'!E19+$H$9)/($H$6+$H$9))+$H$4))</f>
        <v/>
      </c>
      <c r="U28" s="38" t="str">
        <f>IF(B28="","",IF('(4a) A9 - SUB Calculation'!E19&lt;=$M$6,$M$7*LOG(('(4a) A9 - SUB Calculation'!E19+$M$9)/($M$6+$M$9))+$M$4,$M$8*LOG(('(4a) A9 - SUB Calculation'!E19+$M$9)/($M$6+$M$9))+$M$4))</f>
        <v/>
      </c>
      <c r="V28" s="38" t="str">
        <f>'(4a) A9 - SUB Calculation'!H19</f>
        <v/>
      </c>
      <c r="W28" s="38" t="str">
        <f>IF(B28="","",'(4a) A9 - SUB Calculation'!F19)</f>
        <v/>
      </c>
      <c r="X28" s="38" t="str">
        <f t="shared" si="2"/>
        <v/>
      </c>
      <c r="Y28" s="39" t="str">
        <f t="shared" si="3"/>
        <v/>
      </c>
      <c r="Z28" s="39" t="str">
        <f t="shared" si="4"/>
        <v/>
      </c>
      <c r="AA28" s="39" t="str">
        <f t="shared" si="5"/>
        <v/>
      </c>
      <c r="AB28" s="50"/>
      <c r="AM28" s="40"/>
    </row>
    <row r="29" spans="1:39" ht="20.100000000000001" customHeight="1">
      <c r="A29" s="35">
        <v>12</v>
      </c>
      <c r="B29" s="43"/>
      <c r="C29" s="43"/>
      <c r="D29" s="160"/>
      <c r="E29" s="44"/>
      <c r="F29" s="46"/>
      <c r="G29" s="46"/>
      <c r="H29" s="46"/>
      <c r="I29" s="46"/>
      <c r="J29" s="47"/>
      <c r="K29" s="161"/>
      <c r="L29" s="46"/>
      <c r="M29" s="46"/>
      <c r="N29" s="36" t="str">
        <f>IF(B29="","",IF(AND(I29&lt;=100,J29&lt;=0.8*'(1) Vehicle Data'!$C$11,P29&lt;=4,R29&lt;=35),"VALID","VOID"))</f>
        <v/>
      </c>
      <c r="O29" s="45"/>
      <c r="P29" s="37" t="str">
        <f>IF(B29="","",MAX(0,((I29/3.6)^2-(H29/3.6)^2)/(20+2*'(2) Annex 3 - Data'!$C$12)))</f>
        <v/>
      </c>
      <c r="Q29" s="102" t="str">
        <f>IF(B29="","",'(4a) A9 - SUB Calculation'!D20/100)</f>
        <v/>
      </c>
      <c r="R29" s="38" t="str">
        <f t="shared" si="6"/>
        <v/>
      </c>
      <c r="S29" s="38" t="str">
        <f t="shared" si="1"/>
        <v/>
      </c>
      <c r="T29" s="38" t="str">
        <f>IF(B29="","",IF('(4a) A9 - SUB Calculation'!E20&lt;=$H$6,$H$7*LOG(('(4a) A9 - SUB Calculation'!E20+$H$9)/($H$6+$H$9))+$H$4,$H$8*LOG(('(4a) A9 - SUB Calculation'!E20+$H$9)/($H$6+$H$9))+$H$4))</f>
        <v/>
      </c>
      <c r="U29" s="38" t="str">
        <f>IF(B29="","",IF('(4a) A9 - SUB Calculation'!E20&lt;=$M$6,$M$7*LOG(('(4a) A9 - SUB Calculation'!E20+$M$9)/($M$6+$M$9))+$M$4,$M$8*LOG(('(4a) A9 - SUB Calculation'!E20+$M$9)/($M$6+$M$9))+$M$4))</f>
        <v/>
      </c>
      <c r="V29" s="38" t="str">
        <f>'(4a) A9 - SUB Calculation'!H20</f>
        <v/>
      </c>
      <c r="W29" s="38" t="str">
        <f>IF(B29="","",'(4a) A9 - SUB Calculation'!F20)</f>
        <v/>
      </c>
      <c r="X29" s="38" t="str">
        <f t="shared" si="2"/>
        <v/>
      </c>
      <c r="Y29" s="39" t="str">
        <f t="shared" si="3"/>
        <v/>
      </c>
      <c r="Z29" s="39" t="str">
        <f t="shared" si="4"/>
        <v/>
      </c>
      <c r="AA29" s="39" t="str">
        <f t="shared" si="5"/>
        <v/>
      </c>
      <c r="AB29" s="50"/>
    </row>
    <row r="30" spans="1:39" ht="20.100000000000001" customHeight="1">
      <c r="A30" s="35">
        <v>13</v>
      </c>
      <c r="B30" s="43"/>
      <c r="C30" s="43"/>
      <c r="D30" s="160"/>
      <c r="E30" s="44"/>
      <c r="F30" s="46"/>
      <c r="G30" s="46"/>
      <c r="H30" s="46"/>
      <c r="I30" s="46"/>
      <c r="J30" s="47"/>
      <c r="K30" s="161"/>
      <c r="L30" s="46"/>
      <c r="M30" s="46"/>
      <c r="N30" s="36" t="str">
        <f>IF(B30="","",IF(AND(I30&lt;=100,J30&lt;=0.8*'(1) Vehicle Data'!$C$11,P30&lt;=4,R30&lt;=35),"VALID","VOID"))</f>
        <v/>
      </c>
      <c r="O30" s="45"/>
      <c r="P30" s="37" t="str">
        <f>IF(B30="","",MAX(0,((I30/3.6)^2-(H30/3.6)^2)/(20+2*'(2) Annex 3 - Data'!$C$12)))</f>
        <v/>
      </c>
      <c r="Q30" s="102" t="str">
        <f>IF(B30="","",'(4a) A9 - SUB Calculation'!D21/100)</f>
        <v/>
      </c>
      <c r="R30" s="38" t="str">
        <f t="shared" si="6"/>
        <v/>
      </c>
      <c r="S30" s="38" t="str">
        <f t="shared" si="1"/>
        <v/>
      </c>
      <c r="T30" s="38" t="str">
        <f>IF(B30="","",IF('(4a) A9 - SUB Calculation'!E21&lt;=$H$6,$H$7*LOG(('(4a) A9 - SUB Calculation'!E21+$H$9)/($H$6+$H$9))+$H$4,$H$8*LOG(('(4a) A9 - SUB Calculation'!E21+$H$9)/($H$6+$H$9))+$H$4))</f>
        <v/>
      </c>
      <c r="U30" s="38" t="str">
        <f>IF(B30="","",IF('(4a) A9 - SUB Calculation'!E21&lt;=$M$6,$M$7*LOG(('(4a) A9 - SUB Calculation'!E21+$M$9)/($M$6+$M$9))+$M$4,$M$8*LOG(('(4a) A9 - SUB Calculation'!E21+$M$9)/($M$6+$M$9))+$M$4))</f>
        <v/>
      </c>
      <c r="V30" s="38" t="str">
        <f>'(4a) A9 - SUB Calculation'!H21</f>
        <v/>
      </c>
      <c r="W30" s="38" t="str">
        <f>IF(B30="","",'(4a) A9 - SUB Calculation'!F21)</f>
        <v/>
      </c>
      <c r="X30" s="38" t="str">
        <f t="shared" si="2"/>
        <v/>
      </c>
      <c r="Y30" s="39" t="str">
        <f t="shared" si="3"/>
        <v/>
      </c>
      <c r="Z30" s="39" t="str">
        <f t="shared" si="4"/>
        <v/>
      </c>
      <c r="AA30" s="39" t="str">
        <f t="shared" si="5"/>
        <v/>
      </c>
      <c r="AB30" s="50"/>
    </row>
    <row r="31" spans="1:39" ht="20.100000000000001" customHeight="1">
      <c r="A31" s="35">
        <v>14</v>
      </c>
      <c r="B31" s="43"/>
      <c r="C31" s="43"/>
      <c r="D31" s="160"/>
      <c r="E31" s="44"/>
      <c r="F31" s="46"/>
      <c r="G31" s="46"/>
      <c r="H31" s="46"/>
      <c r="I31" s="46"/>
      <c r="J31" s="47"/>
      <c r="K31" s="161"/>
      <c r="L31" s="46"/>
      <c r="M31" s="46"/>
      <c r="N31" s="36" t="str">
        <f>IF(B31="","",IF(AND(I31&lt;=100,J31&lt;=0.8*'(1) Vehicle Data'!$C$11,P31&lt;=4,R31&lt;=35),"VALID","VOID"))</f>
        <v/>
      </c>
      <c r="O31" s="45"/>
      <c r="P31" s="37" t="str">
        <f>IF(B31="","",MAX(0,((I31/3.6)^2-(H31/3.6)^2)/(20+2*'(2) Annex 3 - Data'!$C$12)))</f>
        <v/>
      </c>
      <c r="Q31" s="102" t="str">
        <f>IF(B31="","",'(4a) A9 - SUB Calculation'!D22/100)</f>
        <v/>
      </c>
      <c r="R31" s="38" t="str">
        <f t="shared" si="6"/>
        <v/>
      </c>
      <c r="S31" s="38" t="str">
        <f t="shared" si="1"/>
        <v/>
      </c>
      <c r="T31" s="38" t="str">
        <f>IF(B31="","",IF('(4a) A9 - SUB Calculation'!E22&lt;=$H$6,$H$7*LOG(('(4a) A9 - SUB Calculation'!E22+$H$9)/($H$6+$H$9))+$H$4,$H$8*LOG(('(4a) A9 - SUB Calculation'!E22+$H$9)/($H$6+$H$9))+$H$4))</f>
        <v/>
      </c>
      <c r="U31" s="38" t="str">
        <f>IF(B31="","",IF('(4a) A9 - SUB Calculation'!E22&lt;=$M$6,$M$7*LOG(('(4a) A9 - SUB Calculation'!E22+$M$9)/($M$6+$M$9))+$M$4,$M$8*LOG(('(4a) A9 - SUB Calculation'!E22+$M$9)/($M$6+$M$9))+$M$4))</f>
        <v/>
      </c>
      <c r="V31" s="38" t="str">
        <f>'(4a) A9 - SUB Calculation'!H22</f>
        <v/>
      </c>
      <c r="W31" s="38" t="str">
        <f>IF(B31="","",'(4a) A9 - SUB Calculation'!F22)</f>
        <v/>
      </c>
      <c r="X31" s="38" t="str">
        <f t="shared" si="2"/>
        <v/>
      </c>
      <c r="Y31" s="39" t="str">
        <f t="shared" si="3"/>
        <v/>
      </c>
      <c r="Z31" s="39" t="str">
        <f t="shared" si="4"/>
        <v/>
      </c>
      <c r="AA31" s="39" t="str">
        <f t="shared" si="5"/>
        <v/>
      </c>
      <c r="AB31" s="50"/>
    </row>
    <row r="32" spans="1:39" ht="20.100000000000001" customHeight="1">
      <c r="A32" s="35">
        <v>15</v>
      </c>
      <c r="B32" s="43"/>
      <c r="C32" s="43"/>
      <c r="D32" s="160"/>
      <c r="E32" s="44"/>
      <c r="F32" s="46"/>
      <c r="G32" s="46"/>
      <c r="H32" s="46"/>
      <c r="I32" s="46"/>
      <c r="J32" s="47"/>
      <c r="K32" s="161"/>
      <c r="L32" s="46"/>
      <c r="M32" s="46"/>
      <c r="N32" s="36" t="str">
        <f>IF(B32="","",IF(AND(I32&lt;=100,J32&lt;=0.8*'(1) Vehicle Data'!$C$11,P32&lt;=4,R32&lt;=35),"VALID","VOID"))</f>
        <v/>
      </c>
      <c r="O32" s="45"/>
      <c r="P32" s="37" t="str">
        <f>IF(B32="","",MAX(0,((I32/3.6)^2-(H32/3.6)^2)/(20+2*'(2) Annex 3 - Data'!$C$12)))</f>
        <v/>
      </c>
      <c r="Q32" s="102" t="str">
        <f>IF(B32="","",'(4a) A9 - SUB Calculation'!D23/100)</f>
        <v/>
      </c>
      <c r="R32" s="38" t="str">
        <f t="shared" si="6"/>
        <v/>
      </c>
      <c r="S32" s="38" t="str">
        <f t="shared" si="1"/>
        <v/>
      </c>
      <c r="T32" s="38" t="str">
        <f>IF(B32="","",IF('(4a) A9 - SUB Calculation'!E23&lt;=$H$6,$H$7*LOG(('(4a) A9 - SUB Calculation'!E23+$H$9)/($H$6+$H$9))+$H$4,$H$8*LOG(('(4a) A9 - SUB Calculation'!E23+$H$9)/($H$6+$H$9))+$H$4))</f>
        <v/>
      </c>
      <c r="U32" s="38" t="str">
        <f>IF(B32="","",IF('(4a) A9 - SUB Calculation'!E23&lt;=$M$6,$M$7*LOG(('(4a) A9 - SUB Calculation'!E23+$M$9)/($M$6+$M$9))+$M$4,$M$8*LOG(('(4a) A9 - SUB Calculation'!E23+$M$9)/($M$6+$M$9))+$M$4))</f>
        <v/>
      </c>
      <c r="V32" s="38" t="str">
        <f>'(4a) A9 - SUB Calculation'!H23</f>
        <v/>
      </c>
      <c r="W32" s="38" t="str">
        <f>IF(B32="","",'(4a) A9 - SUB Calculation'!F23)</f>
        <v/>
      </c>
      <c r="X32" s="38" t="str">
        <f t="shared" si="2"/>
        <v/>
      </c>
      <c r="Y32" s="39" t="str">
        <f t="shared" si="3"/>
        <v/>
      </c>
      <c r="Z32" s="39" t="str">
        <f t="shared" si="4"/>
        <v/>
      </c>
      <c r="AA32" s="39" t="str">
        <f t="shared" si="5"/>
        <v/>
      </c>
      <c r="AB32" s="50"/>
    </row>
    <row r="33" spans="1:28" ht="20.100000000000001" customHeight="1">
      <c r="A33" s="31" t="s">
        <v>156</v>
      </c>
      <c r="B33" s="41"/>
      <c r="C33" s="41"/>
      <c r="D33" s="41"/>
      <c r="E33" s="41"/>
      <c r="F33" s="32"/>
      <c r="G33" s="32"/>
      <c r="H33" s="32"/>
      <c r="I33" s="32"/>
      <c r="J33" s="32"/>
      <c r="K33" s="32"/>
      <c r="L33" s="32"/>
      <c r="M33" s="32"/>
      <c r="N33" s="32"/>
      <c r="O33" s="32"/>
      <c r="P33" s="32"/>
      <c r="Q33" s="32"/>
      <c r="R33" s="32"/>
      <c r="S33" s="32"/>
      <c r="T33" s="32"/>
      <c r="U33" s="32"/>
      <c r="V33" s="32"/>
      <c r="W33" s="32"/>
      <c r="X33" s="32"/>
      <c r="Y33" s="41"/>
      <c r="Z33" s="41"/>
      <c r="AA33" s="41"/>
      <c r="AB33" s="50"/>
    </row>
    <row r="34" spans="1:28" ht="20.100000000000001" customHeight="1">
      <c r="A34" s="35">
        <v>16</v>
      </c>
      <c r="B34" s="43"/>
      <c r="C34" s="43"/>
      <c r="D34" s="160"/>
      <c r="E34" s="44"/>
      <c r="F34" s="46"/>
      <c r="G34" s="46"/>
      <c r="H34" s="46"/>
      <c r="I34" s="46"/>
      <c r="J34" s="47"/>
      <c r="K34" s="161"/>
      <c r="L34" s="46"/>
      <c r="M34" s="46"/>
      <c r="N34" s="36" t="str">
        <f>IF(B34="","",IF(AND(I34&lt;=100,J34&lt;=0.8*'(1) Vehicle Data'!$C$11,P34&lt;=4,R34&lt;=35),"VALID","VOID"))</f>
        <v/>
      </c>
      <c r="O34" s="45"/>
      <c r="P34" s="37" t="str">
        <f>IF(B34="","",MAX(0,((I34/3.6)^2-(H34/3.6)^2)/(20+2*'(2) Annex 3 - Data'!$C$12)))</f>
        <v/>
      </c>
      <c r="Q34" s="102" t="str">
        <f>IF(B34="","",'(4a) A9 - SUB Calculation'!D25/100)</f>
        <v/>
      </c>
      <c r="R34" s="38" t="str">
        <f t="shared" ref="R34:R38" si="7">IF(B34="","",I34/3.6*P34)</f>
        <v/>
      </c>
      <c r="S34" s="38" t="str">
        <f t="shared" ref="S34:S38" si="8">IF(B34="","",IF(I34&lt;=$C$5,$C$7*LOG(I34/$C$5)+$C$4,$C$8*LOG(I34/$C$5)+$C$4))</f>
        <v/>
      </c>
      <c r="T34" s="38" t="str">
        <f>IF(B34="","",IF('(4a) A9 - SUB Calculation'!E25&lt;=$H$6,$H$7*LOG(('(4a) A9 - SUB Calculation'!E25+$H$9)/($H$6+$H$9))+$H$4,$H$8*LOG(('(4a) A9 - SUB Calculation'!E25+$H$9)/($H$6+$H$9))+$H$4))</f>
        <v/>
      </c>
      <c r="U34" s="38" t="str">
        <f>IF(B34="","",IF('(4a) A9 - SUB Calculation'!E25&lt;=$M$6,$M$7*LOG(('(4a) A9 - SUB Calculation'!E25+$M$9)/($M$6+$M$9))+$M$4,$M$8*LOG(('(4a) A9 - SUB Calculation'!E25+$M$9)/($M$6+$M$9))+$M$4))</f>
        <v/>
      </c>
      <c r="V34" s="38" t="str">
        <f>'(4a) A9 - SUB Calculation'!H25</f>
        <v/>
      </c>
      <c r="W34" s="38" t="str">
        <f>IF(B34="","",'(4a) A9 - SUB Calculation'!F25)</f>
        <v/>
      </c>
      <c r="X34" s="38" t="str">
        <f t="shared" si="2"/>
        <v/>
      </c>
      <c r="Y34" s="39" t="str">
        <f t="shared" si="3"/>
        <v/>
      </c>
      <c r="Z34" s="39" t="str">
        <f t="shared" si="4"/>
        <v/>
      </c>
      <c r="AA34" s="39" t="str">
        <f t="shared" si="5"/>
        <v/>
      </c>
      <c r="AB34" s="50"/>
    </row>
    <row r="35" spans="1:28" ht="20.100000000000001" customHeight="1">
      <c r="A35" s="35">
        <v>17</v>
      </c>
      <c r="B35" s="43"/>
      <c r="C35" s="43"/>
      <c r="D35" s="160"/>
      <c r="E35" s="44"/>
      <c r="F35" s="46"/>
      <c r="G35" s="46"/>
      <c r="H35" s="46"/>
      <c r="I35" s="46"/>
      <c r="J35" s="47"/>
      <c r="K35" s="161"/>
      <c r="L35" s="46"/>
      <c r="M35" s="46"/>
      <c r="N35" s="36" t="str">
        <f>IF(B35="","",IF(AND(I35&lt;=100,J35&lt;=0.8*'(1) Vehicle Data'!$C$11,P35&lt;=4,R35&lt;=35),"VALID","VOID"))</f>
        <v/>
      </c>
      <c r="O35" s="45"/>
      <c r="P35" s="37" t="str">
        <f>IF(B35="","",MAX(0,((I35/3.6)^2-(H35/3.6)^2)/(20+2*'(2) Annex 3 - Data'!$C$12)))</f>
        <v/>
      </c>
      <c r="Q35" s="102" t="str">
        <f>IF(B35="","",'(4a) A9 - SUB Calculation'!D26/100)</f>
        <v/>
      </c>
      <c r="R35" s="38" t="str">
        <f t="shared" si="7"/>
        <v/>
      </c>
      <c r="S35" s="38" t="str">
        <f t="shared" si="8"/>
        <v/>
      </c>
      <c r="T35" s="38" t="str">
        <f>IF(B35="","",IF('(4a) A9 - SUB Calculation'!E26&lt;=$H$6,$H$7*LOG(('(4a) A9 - SUB Calculation'!E26+$H$9)/($H$6+$H$9))+$H$4,$H$8*LOG(('(4a) A9 - SUB Calculation'!E26+$H$9)/($H$6+$H$9))+$H$4))</f>
        <v/>
      </c>
      <c r="U35" s="38" t="str">
        <f>IF(B35="","",IF('(4a) A9 - SUB Calculation'!E26&lt;=$M$6,$M$7*LOG(('(4a) A9 - SUB Calculation'!E26+$M$9)/($M$6+$M$9))+$M$4,$M$8*LOG(('(4a) A9 - SUB Calculation'!E26+$M$9)/($M$6+$M$9))+$M$4))</f>
        <v/>
      </c>
      <c r="V35" s="38" t="str">
        <f>'(4a) A9 - SUB Calculation'!H26</f>
        <v/>
      </c>
      <c r="W35" s="38" t="str">
        <f>IF(B35="","",'(4a) A9 - SUB Calculation'!F26)</f>
        <v/>
      </c>
      <c r="X35" s="38" t="str">
        <f t="shared" si="2"/>
        <v/>
      </c>
      <c r="Y35" s="39" t="str">
        <f t="shared" si="3"/>
        <v/>
      </c>
      <c r="Z35" s="39" t="str">
        <f t="shared" si="4"/>
        <v/>
      </c>
      <c r="AA35" s="39" t="str">
        <f t="shared" si="5"/>
        <v/>
      </c>
      <c r="AB35" s="50"/>
    </row>
    <row r="36" spans="1:28" ht="20.100000000000001" customHeight="1">
      <c r="A36" s="35">
        <v>18</v>
      </c>
      <c r="B36" s="43"/>
      <c r="C36" s="43"/>
      <c r="D36" s="160"/>
      <c r="E36" s="44"/>
      <c r="F36" s="46"/>
      <c r="G36" s="46"/>
      <c r="H36" s="46"/>
      <c r="I36" s="46"/>
      <c r="J36" s="47"/>
      <c r="K36" s="161"/>
      <c r="L36" s="46"/>
      <c r="M36" s="46"/>
      <c r="N36" s="36" t="str">
        <f>IF(B36="","",IF(AND(I36&lt;=100,J36&lt;=0.8*'(1) Vehicle Data'!$C$11,P36&lt;=4,R36&lt;=35),"VALID","VOID"))</f>
        <v/>
      </c>
      <c r="O36" s="45"/>
      <c r="P36" s="37" t="str">
        <f>IF(B36="","",MAX(0,((I36/3.6)^2-(H36/3.6)^2)/(20+2*'(2) Annex 3 - Data'!$C$12)))</f>
        <v/>
      </c>
      <c r="Q36" s="102" t="str">
        <f>IF(B36="","",'(4a) A9 - SUB Calculation'!D27/100)</f>
        <v/>
      </c>
      <c r="R36" s="38" t="str">
        <f t="shared" si="7"/>
        <v/>
      </c>
      <c r="S36" s="38" t="str">
        <f t="shared" si="8"/>
        <v/>
      </c>
      <c r="T36" s="38" t="str">
        <f>IF(B36="","",IF('(4a) A9 - SUB Calculation'!E27&lt;=$H$6,$H$7*LOG(('(4a) A9 - SUB Calculation'!E27+$H$9)/($H$6+$H$9))+$H$4,$H$8*LOG(('(4a) A9 - SUB Calculation'!E27+$H$9)/($H$6+$H$9))+$H$4))</f>
        <v/>
      </c>
      <c r="U36" s="38" t="str">
        <f>IF(B36="","",IF('(4a) A9 - SUB Calculation'!E27&lt;=$M$6,$M$7*LOG(('(4a) A9 - SUB Calculation'!E27+$M$9)/($M$6+$M$9))+$M$4,$M$8*LOG(('(4a) A9 - SUB Calculation'!E27+$M$9)/($M$6+$M$9))+$M$4))</f>
        <v/>
      </c>
      <c r="V36" s="38" t="str">
        <f>'(4a) A9 - SUB Calculation'!H27</f>
        <v/>
      </c>
      <c r="W36" s="38" t="str">
        <f>IF(B36="","",'(4a) A9 - SUB Calculation'!F27)</f>
        <v/>
      </c>
      <c r="X36" s="38" t="str">
        <f t="shared" si="2"/>
        <v/>
      </c>
      <c r="Y36" s="39" t="str">
        <f t="shared" si="3"/>
        <v/>
      </c>
      <c r="Z36" s="39" t="str">
        <f t="shared" si="4"/>
        <v/>
      </c>
      <c r="AA36" s="39" t="str">
        <f t="shared" si="5"/>
        <v/>
      </c>
      <c r="AB36" s="50"/>
    </row>
    <row r="37" spans="1:28" ht="20.100000000000001" customHeight="1">
      <c r="A37" s="35">
        <v>19</v>
      </c>
      <c r="B37" s="43"/>
      <c r="C37" s="43"/>
      <c r="D37" s="160"/>
      <c r="E37" s="44"/>
      <c r="F37" s="46"/>
      <c r="G37" s="46"/>
      <c r="H37" s="46"/>
      <c r="I37" s="46"/>
      <c r="J37" s="47"/>
      <c r="K37" s="161"/>
      <c r="L37" s="46"/>
      <c r="M37" s="46"/>
      <c r="N37" s="36" t="str">
        <f>IF(B37="","",IF(AND(I37&lt;=100,J37&lt;=0.8*'(1) Vehicle Data'!$C$11,P37&lt;=4,R37&lt;=35),"VALID","VOID"))</f>
        <v/>
      </c>
      <c r="O37" s="45"/>
      <c r="P37" s="37" t="str">
        <f>IF(B37="","",MAX(0,((I37/3.6)^2-(H37/3.6)^2)/(20+2*'(2) Annex 3 - Data'!$C$12)))</f>
        <v/>
      </c>
      <c r="Q37" s="102" t="str">
        <f>IF(B37="","",'(4a) A9 - SUB Calculation'!D28/100)</f>
        <v/>
      </c>
      <c r="R37" s="38" t="str">
        <f t="shared" si="7"/>
        <v/>
      </c>
      <c r="S37" s="38" t="str">
        <f t="shared" si="8"/>
        <v/>
      </c>
      <c r="T37" s="38" t="str">
        <f>IF(B37="","",IF('(4a) A9 - SUB Calculation'!E28&lt;=$H$6,$H$7*LOG(('(4a) A9 - SUB Calculation'!E28+$H$9)/($H$6+$H$9))+$H$4,$H$8*LOG(('(4a) A9 - SUB Calculation'!E28+$H$9)/($H$6+$H$9))+$H$4))</f>
        <v/>
      </c>
      <c r="U37" s="38" t="str">
        <f>IF(B37="","",IF('(4a) A9 - SUB Calculation'!E28&lt;=$M$6,$M$7*LOG(('(4a) A9 - SUB Calculation'!E28+$M$9)/($M$6+$M$9))+$M$4,$M$8*LOG(('(4a) A9 - SUB Calculation'!E28+$M$9)/($M$6+$M$9))+$M$4))</f>
        <v/>
      </c>
      <c r="V37" s="38" t="str">
        <f>'(4a) A9 - SUB Calculation'!H28</f>
        <v/>
      </c>
      <c r="W37" s="38" t="str">
        <f>IF(B37="","",'(4a) A9 - SUB Calculation'!F28)</f>
        <v/>
      </c>
      <c r="X37" s="38" t="str">
        <f t="shared" si="2"/>
        <v/>
      </c>
      <c r="Y37" s="39" t="str">
        <f t="shared" si="3"/>
        <v/>
      </c>
      <c r="Z37" s="39" t="str">
        <f t="shared" si="4"/>
        <v/>
      </c>
      <c r="AA37" s="39" t="str">
        <f t="shared" si="5"/>
        <v/>
      </c>
      <c r="AB37" s="50"/>
    </row>
    <row r="38" spans="1:28" ht="20.100000000000001" customHeight="1">
      <c r="A38" s="35">
        <v>20</v>
      </c>
      <c r="B38" s="43"/>
      <c r="C38" s="43"/>
      <c r="D38" s="160"/>
      <c r="E38" s="44"/>
      <c r="F38" s="46"/>
      <c r="G38" s="46"/>
      <c r="H38" s="46"/>
      <c r="I38" s="46"/>
      <c r="J38" s="47"/>
      <c r="K38" s="161"/>
      <c r="L38" s="46"/>
      <c r="M38" s="46"/>
      <c r="N38" s="36" t="str">
        <f>IF(B38="","",IF(AND(I38&lt;=100,J38&lt;=0.8*'(1) Vehicle Data'!$C$11,P38&lt;=4,R38&lt;=35),"VALID","VOID"))</f>
        <v/>
      </c>
      <c r="O38" s="45"/>
      <c r="P38" s="37" t="str">
        <f>IF(B38="","",MAX(0,((I38/3.6)^2-(H38/3.6)^2)/(20+2*'(2) Annex 3 - Data'!$C$12)))</f>
        <v/>
      </c>
      <c r="Q38" s="102" t="str">
        <f>IF(B38="","",'(4a) A9 - SUB Calculation'!D29/100)</f>
        <v/>
      </c>
      <c r="R38" s="38" t="str">
        <f t="shared" si="7"/>
        <v/>
      </c>
      <c r="S38" s="38" t="str">
        <f t="shared" si="8"/>
        <v/>
      </c>
      <c r="T38" s="38" t="str">
        <f>IF(B38="","",IF('(4a) A9 - SUB Calculation'!E29&lt;=$H$6,$H$7*LOG(('(4a) A9 - SUB Calculation'!E29+$H$9)/($H$6+$H$9))+$H$4,$H$8*LOG(('(4a) A9 - SUB Calculation'!E29+$H$9)/($H$6+$H$9))+$H$4))</f>
        <v/>
      </c>
      <c r="U38" s="38" t="str">
        <f>IF(B38="","",IF('(4a) A9 - SUB Calculation'!E29&lt;=$M$6,$M$7*LOG(('(4a) A9 - SUB Calculation'!E29+$M$9)/($M$6+$M$9))+$M$4,$M$8*LOG(('(4a) A9 - SUB Calculation'!E29+$M$9)/($M$6+$M$9))+$M$4))</f>
        <v/>
      </c>
      <c r="V38" s="38" t="str">
        <f>'(4a) A9 - SUB Calculation'!H29</f>
        <v/>
      </c>
      <c r="W38" s="38" t="str">
        <f>IF(B38="","",'(4a) A9 - SUB Calculation'!F29)</f>
        <v/>
      </c>
      <c r="X38" s="38" t="str">
        <f t="shared" si="2"/>
        <v/>
      </c>
      <c r="Y38" s="39" t="str">
        <f t="shared" si="3"/>
        <v/>
      </c>
      <c r="Z38" s="39" t="str">
        <f t="shared" si="4"/>
        <v/>
      </c>
      <c r="AA38" s="39" t="str">
        <f t="shared" si="5"/>
        <v/>
      </c>
      <c r="AB38" s="50"/>
    </row>
    <row r="39" spans="1:28" ht="9.9499999999999993" customHeight="1">
      <c r="A39" s="20"/>
      <c r="B39" s="20"/>
      <c r="C39" s="20"/>
      <c r="D39" s="20"/>
      <c r="E39" s="20"/>
      <c r="F39" s="20"/>
      <c r="G39" s="20"/>
      <c r="H39" s="20"/>
      <c r="I39" s="20"/>
      <c r="J39" s="20"/>
      <c r="K39" s="20"/>
      <c r="L39" s="20"/>
      <c r="M39" s="20"/>
      <c r="N39" s="20"/>
      <c r="O39" s="21"/>
      <c r="P39" s="21"/>
      <c r="Q39" s="21"/>
      <c r="R39" s="21"/>
      <c r="S39" s="21"/>
      <c r="T39" s="21"/>
      <c r="U39" s="21"/>
      <c r="V39" s="21"/>
      <c r="W39" s="21"/>
      <c r="X39" s="21"/>
      <c r="Y39" s="21"/>
      <c r="Z39" s="21"/>
      <c r="AA39" s="21"/>
      <c r="AB39" s="50"/>
    </row>
    <row r="40" spans="1:28" ht="39.950000000000003" customHeight="1">
      <c r="A40" s="20"/>
      <c r="B40" s="20"/>
      <c r="C40" s="20"/>
      <c r="D40" s="20"/>
      <c r="E40" s="20"/>
      <c r="F40" s="20"/>
      <c r="G40" s="20"/>
      <c r="H40" s="20"/>
      <c r="I40" s="20"/>
      <c r="J40" s="20"/>
      <c r="K40" s="20"/>
      <c r="L40" s="20"/>
      <c r="M40" s="20"/>
      <c r="N40" s="20"/>
      <c r="O40" s="21"/>
      <c r="P40" s="21"/>
      <c r="Q40" s="21"/>
      <c r="R40" s="21"/>
      <c r="S40" s="21"/>
      <c r="T40" s="21"/>
      <c r="U40" s="21"/>
      <c r="V40" s="21"/>
      <c r="W40" s="21"/>
      <c r="X40" s="298" t="s">
        <v>159</v>
      </c>
      <c r="Y40" s="299"/>
      <c r="Z40" s="299"/>
      <c r="AA40" s="300"/>
      <c r="AB40" s="50"/>
    </row>
    <row r="41" spans="1:28" ht="24.95" customHeight="1">
      <c r="A41" s="20"/>
      <c r="B41" s="20"/>
      <c r="C41" s="20"/>
      <c r="D41" s="20"/>
      <c r="E41" s="20"/>
      <c r="F41" s="20"/>
      <c r="G41" s="20"/>
      <c r="H41" s="20"/>
      <c r="I41" s="20"/>
      <c r="J41" s="20"/>
      <c r="K41" s="20"/>
      <c r="L41" s="20"/>
      <c r="M41" s="20"/>
      <c r="N41" s="20"/>
      <c r="O41" s="21"/>
      <c r="P41" s="21"/>
      <c r="Q41" s="21"/>
      <c r="R41" s="21"/>
      <c r="S41" s="21"/>
      <c r="T41" s="21"/>
      <c r="U41" s="21"/>
      <c r="V41" s="21"/>
      <c r="W41" s="21"/>
      <c r="X41" s="292" t="s">
        <v>157</v>
      </c>
      <c r="Y41" s="290"/>
      <c r="Z41" s="290" t="s">
        <v>158</v>
      </c>
      <c r="AA41" s="291"/>
      <c r="AB41" s="50"/>
    </row>
    <row r="42" spans="1:28" ht="30" customHeight="1">
      <c r="A42" s="20"/>
      <c r="B42" s="20"/>
      <c r="C42" s="20"/>
      <c r="D42" s="20"/>
      <c r="E42" s="20"/>
      <c r="F42" s="20"/>
      <c r="G42" s="20"/>
      <c r="H42" s="20"/>
      <c r="I42" s="20"/>
      <c r="J42" s="20"/>
      <c r="K42" s="20"/>
      <c r="L42" s="20"/>
      <c r="M42" s="20"/>
      <c r="N42" s="20"/>
      <c r="O42" s="21"/>
      <c r="P42" s="21"/>
      <c r="Q42" s="21"/>
      <c r="R42" s="21"/>
      <c r="S42" s="21"/>
      <c r="T42" s="21"/>
      <c r="U42" s="21"/>
      <c r="V42" s="21"/>
      <c r="W42" s="21"/>
      <c r="X42" s="295">
        <f>IF(AND(SUM(Z18:Z32)=0,SUM(AA18:AA32)=0),1,IF(AND(SUM(AA18:AA32)=0,SUM(Z18:Z32)&lt;=2),2,IF(SUM(AA18:AA32)&gt;0,3,4)))</f>
        <v>1</v>
      </c>
      <c r="Y42" s="296"/>
      <c r="Z42" s="293" t="str">
        <f>IF(X42&lt;=2,"APPROVED","FAILED")</f>
        <v>APPROVED</v>
      </c>
      <c r="AA42" s="294"/>
      <c r="AB42" s="50"/>
    </row>
    <row r="43" spans="1:28" hidden="1">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row>
    <row r="44" spans="1:28" hidden="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row>
    <row r="45" spans="1:28" hidden="1">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row>
  </sheetData>
  <sheetProtection algorithmName="SHA-512" hashValue="E5INY58OLraYpXCiuoIXRXITkcTc8M052OOV09J8tcjWSfyi8KIlYduqcmSEgIZRHDK2r16aY5EBr5QniVyyFg==" saltValue="5rnOzeQ7eiaZ9T6Reufa7g==" spinCount="100000" sheet="1" objects="1" scenarios="1"/>
  <customSheetViews>
    <customSheetView guid="{C0223898-2DB3-485F-A6E2-8575C6691491}" scale="80" showPageBreaks="1" fitToPage="1" printArea="1">
      <selection activeCell="I19" sqref="I19"/>
      <colBreaks count="1" manualBreakCount="1">
        <brk id="27" min="1" max="43" man="1"/>
      </colBreaks>
      <pageMargins left="0.7" right="0.7" top="0.78740157499999996" bottom="0.78740157499999996" header="0.3" footer="0.3"/>
      <pageSetup paperSize="9" scale="41" orientation="landscape" r:id="rId1"/>
    </customSheetView>
  </customSheetViews>
  <mergeCells count="73">
    <mergeCell ref="Q3:T3"/>
    <mergeCell ref="Q5:R5"/>
    <mergeCell ref="Q4:R4"/>
    <mergeCell ref="V12:V13"/>
    <mergeCell ref="A14:A16"/>
    <mergeCell ref="B14:B16"/>
    <mergeCell ref="C14:C16"/>
    <mergeCell ref="K14:K15"/>
    <mergeCell ref="A3:D3"/>
    <mergeCell ref="F8:G8"/>
    <mergeCell ref="A12:A13"/>
    <mergeCell ref="B12:B13"/>
    <mergeCell ref="C12:C13"/>
    <mergeCell ref="D12:D13"/>
    <mergeCell ref="E12:E13"/>
    <mergeCell ref="F12:F13"/>
    <mergeCell ref="N14:N16"/>
    <mergeCell ref="Z41:AA41"/>
    <mergeCell ref="X41:Y41"/>
    <mergeCell ref="Z42:AA42"/>
    <mergeCell ref="X42:Y42"/>
    <mergeCell ref="Y14:AA16"/>
    <mergeCell ref="O12:O16"/>
    <mergeCell ref="Q12:Q13"/>
    <mergeCell ref="Q14:Q15"/>
    <mergeCell ref="X40:AA40"/>
    <mergeCell ref="T12:T13"/>
    <mergeCell ref="U12:U13"/>
    <mergeCell ref="W12:W13"/>
    <mergeCell ref="A1:AA1"/>
    <mergeCell ref="B11:E11"/>
    <mergeCell ref="F11:O11"/>
    <mergeCell ref="P11:X11"/>
    <mergeCell ref="A9:B9"/>
    <mergeCell ref="A8:B8"/>
    <mergeCell ref="A4:B4"/>
    <mergeCell ref="A5:B5"/>
    <mergeCell ref="F3:I3"/>
    <mergeCell ref="K3:N3"/>
    <mergeCell ref="X3:AA3"/>
    <mergeCell ref="F5:G5"/>
    <mergeCell ref="X4:Y4"/>
    <mergeCell ref="F4:G4"/>
    <mergeCell ref="K4:L4"/>
    <mergeCell ref="K5:L5"/>
    <mergeCell ref="X5:Y5"/>
    <mergeCell ref="X7:AA7"/>
    <mergeCell ref="X8:Y8"/>
    <mergeCell ref="G12:I13"/>
    <mergeCell ref="J12:J13"/>
    <mergeCell ref="S12:S13"/>
    <mergeCell ref="K12:K13"/>
    <mergeCell ref="N12:N13"/>
    <mergeCell ref="P12:P13"/>
    <mergeCell ref="R12:R13"/>
    <mergeCell ref="Y11:AA11"/>
    <mergeCell ref="Z12:Z13"/>
    <mergeCell ref="AA12:AA13"/>
    <mergeCell ref="Y12:Y13"/>
    <mergeCell ref="X12:X13"/>
    <mergeCell ref="X9:Y9"/>
    <mergeCell ref="Q9:R9"/>
    <mergeCell ref="A6:B6"/>
    <mergeCell ref="F6:G6"/>
    <mergeCell ref="K9:L9"/>
    <mergeCell ref="F9:G9"/>
    <mergeCell ref="K6:L6"/>
    <mergeCell ref="A7:B7"/>
    <mergeCell ref="F7:G7"/>
    <mergeCell ref="K8:L8"/>
    <mergeCell ref="K7:L7"/>
    <mergeCell ref="Q8:R8"/>
    <mergeCell ref="Q7:T7"/>
  </mergeCells>
  <phoneticPr fontId="25" type="noConversion"/>
  <conditionalFormatting sqref="X42">
    <cfRule type="cellIs" dxfId="8" priority="9" operator="lessThanOrEqual">
      <formula>2</formula>
    </cfRule>
  </conditionalFormatting>
  <conditionalFormatting sqref="Z42">
    <cfRule type="cellIs" dxfId="7" priority="8" operator="equal">
      <formula>"APPROVED"</formula>
    </cfRule>
  </conditionalFormatting>
  <conditionalFormatting sqref="N18:N32 N34:N38">
    <cfRule type="cellIs" dxfId="6" priority="6" operator="equal">
      <formula>"VOID"</formula>
    </cfRule>
    <cfRule type="cellIs" dxfId="5" priority="7" operator="equal">
      <formula>"VALID"</formula>
    </cfRule>
  </conditionalFormatting>
  <conditionalFormatting sqref="Y18:Y32 Y34:Y38">
    <cfRule type="cellIs" dxfId="4" priority="5" operator="equal">
      <formula>1</formula>
    </cfRule>
  </conditionalFormatting>
  <conditionalFormatting sqref="Z18:Z32 Z34:Z38">
    <cfRule type="cellIs" dxfId="3" priority="4" operator="equal">
      <formula>1</formula>
    </cfRule>
  </conditionalFormatting>
  <conditionalFormatting sqref="AA18:AA32 AA34:AA38">
    <cfRule type="cellIs" dxfId="2" priority="3" operator="equal">
      <formula>1</formula>
    </cfRule>
  </conditionalFormatting>
  <conditionalFormatting sqref="P18:P32 P34:P38">
    <cfRule type="cellIs" dxfId="1" priority="2" operator="greaterThan">
      <formula>4</formula>
    </cfRule>
  </conditionalFormatting>
  <conditionalFormatting sqref="R18:R32 R34:R38">
    <cfRule type="cellIs" dxfId="0" priority="1" operator="greaterThanOrEqual">
      <formula>35</formula>
    </cfRule>
  </conditionalFormatting>
  <dataValidations disablePrompts="1" count="1">
    <dataValidation type="whole" operator="greaterThanOrEqual" allowBlank="1" showInputMessage="1" showErrorMessage="1" sqref="J18:J32 J34:J38" xr:uid="{45E509D7-4D3C-4322-955E-56E32064D918}">
      <formula1>0</formula1>
    </dataValidation>
  </dataValidations>
  <printOptions horizontalCentered="1"/>
  <pageMargins left="0.19685039370078741" right="0.19685039370078741" top="0.98425196850393704" bottom="0.78740157480314965" header="0.31496062992125984" footer="0.31496062992125984"/>
  <pageSetup paperSize="9" scale="46"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54D5E-CE08-4FD2-9FC2-462C5A87A510}">
  <sheetPr>
    <tabColor theme="8" tint="0.79998168889431442"/>
  </sheetPr>
  <dimension ref="A1:J30"/>
  <sheetViews>
    <sheetView zoomScaleNormal="100" zoomScaleSheetLayoutView="120" workbookViewId="0">
      <selection activeCell="F11" sqref="F11"/>
    </sheetView>
  </sheetViews>
  <sheetFormatPr baseColWidth="10" defaultColWidth="0" defaultRowHeight="15" zeroHeight="1"/>
  <cols>
    <col min="1" max="1" width="8.7109375" style="52" customWidth="1"/>
    <col min="2" max="8" width="14.7109375" style="59" customWidth="1"/>
    <col min="9" max="10" width="0" style="59" hidden="1" customWidth="1"/>
    <col min="11" max="16384" width="11.42578125" style="59" hidden="1"/>
  </cols>
  <sheetData>
    <row r="1" spans="1:8" ht="55.15" customHeight="1">
      <c r="A1" s="310" t="s">
        <v>431</v>
      </c>
      <c r="B1" s="310"/>
      <c r="C1" s="310"/>
      <c r="D1" s="310"/>
      <c r="E1" s="310"/>
      <c r="F1" s="310"/>
      <c r="G1" s="310"/>
      <c r="H1" s="310"/>
    </row>
    <row r="2" spans="1:8" ht="20.100000000000001" customHeight="1">
      <c r="A2" s="103"/>
      <c r="B2" s="87"/>
      <c r="C2" s="87"/>
      <c r="D2" s="87"/>
      <c r="E2" s="87"/>
      <c r="F2" s="87"/>
      <c r="G2" s="87"/>
      <c r="H2" s="87"/>
    </row>
    <row r="3" spans="1:8" ht="20.100000000000001" customHeight="1">
      <c r="A3" s="278" t="s">
        <v>137</v>
      </c>
      <c r="B3" s="278"/>
      <c r="C3" s="278"/>
      <c r="D3" s="278"/>
      <c r="E3" s="278"/>
      <c r="F3" s="278"/>
      <c r="G3" s="278"/>
      <c r="H3" s="278"/>
    </row>
    <row r="4" spans="1:8" ht="30" customHeight="1">
      <c r="A4" s="269" t="s">
        <v>280</v>
      </c>
      <c r="B4" s="269" t="s">
        <v>73</v>
      </c>
      <c r="C4" s="269" t="s">
        <v>129</v>
      </c>
      <c r="D4" s="270" t="s">
        <v>128</v>
      </c>
      <c r="E4" s="270" t="s">
        <v>144</v>
      </c>
      <c r="F4" s="270" t="s">
        <v>135</v>
      </c>
      <c r="G4" s="270" t="s">
        <v>134</v>
      </c>
      <c r="H4" s="270" t="s">
        <v>133</v>
      </c>
    </row>
    <row r="5" spans="1:8" ht="30" customHeight="1">
      <c r="A5" s="269"/>
      <c r="B5" s="269"/>
      <c r="C5" s="269"/>
      <c r="D5" s="271"/>
      <c r="E5" s="271"/>
      <c r="F5" s="271"/>
      <c r="G5" s="271"/>
      <c r="H5" s="271"/>
    </row>
    <row r="6" spans="1:8" ht="20.100000000000001" customHeight="1">
      <c r="A6" s="269"/>
      <c r="B6" s="269" t="s">
        <v>166</v>
      </c>
      <c r="C6" s="28" t="s">
        <v>131</v>
      </c>
      <c r="D6" s="30"/>
      <c r="E6" s="311" t="s">
        <v>25</v>
      </c>
      <c r="F6" s="88" t="s">
        <v>136</v>
      </c>
      <c r="G6" s="88" t="s">
        <v>132</v>
      </c>
      <c r="H6" s="88" t="s">
        <v>130</v>
      </c>
    </row>
    <row r="7" spans="1:8" ht="20.100000000000001" customHeight="1">
      <c r="A7" s="269"/>
      <c r="B7" s="269"/>
      <c r="C7" s="28" t="s">
        <v>5</v>
      </c>
      <c r="D7" s="28" t="s">
        <v>24</v>
      </c>
      <c r="E7" s="312"/>
      <c r="F7" s="28" t="s">
        <v>4</v>
      </c>
      <c r="G7" s="28" t="s">
        <v>4</v>
      </c>
      <c r="H7" s="28" t="s">
        <v>4</v>
      </c>
    </row>
    <row r="8" spans="1:8" ht="20.100000000000001" customHeight="1">
      <c r="A8" s="104" t="s">
        <v>155</v>
      </c>
      <c r="B8" s="31"/>
      <c r="C8" s="54"/>
      <c r="D8" s="32"/>
      <c r="E8" s="32"/>
      <c r="F8" s="32"/>
      <c r="G8" s="32"/>
      <c r="H8" s="32"/>
    </row>
    <row r="9" spans="1:8" ht="20.100000000000001" customHeight="1">
      <c r="A9" s="105">
        <v>1</v>
      </c>
      <c r="B9" s="37" t="str">
        <f>IF('(4) A9 - Test Report Sheet'!B18="","",IF('(4) A9 - Test Report Sheet'!$S$8="ICE",ROUND('(4) A9 - Test Report Sheet'!I18/'(4) A9 - Test Report Sheet'!J18*1000,2),IF(LEFT('(4) A9 - Test Report Sheet'!$S$8,2)="EV",30,IF(OR('(4) A9 - Test Report Sheet'!J18=0,'(4) A9 - Test Report Sheet'!J18=""),IF('(4) A9 - Test Report Sheet'!P18&lt;=0.3,30,20),ROUND('(4) A9 - Test Report Sheet'!I18/'(4) A9 - Test Report Sheet'!J18*1000,2)))))</f>
        <v/>
      </c>
      <c r="C9" s="37" t="str">
        <f>IF('(4) A9 - Test Report Sheet'!B18="","",ROUND('(3) Annex 9 - Setup Data'!$B$42/B9*'(3) Annex 9 - Setup Data'!$B$34,2))</f>
        <v/>
      </c>
      <c r="D9" s="89" t="str">
        <f>IF('(4) A9 - Test Report Sheet'!B18="","",MIN(100,MAX(0,'(4) A9 - Test Report Sheet'!P18/C9)*100))</f>
        <v/>
      </c>
      <c r="E9" s="89" t="str">
        <f>IF('(4) A9 - Test Report Sheet'!B18="","",IF('(4) A9 - Test Report Sheet'!$S$8="ICE",ROUND('(4) A9 - Test Report Sheet'!J18,0),ROUND('(4) A9 - Test Report Sheet'!I18/B9*1000,2)))</f>
        <v/>
      </c>
      <c r="F9" s="38" t="str">
        <f>IF('(4) A9 - Test Report Sheet'!B18="","",IF(AND('(4) A9 - Test Report Sheet'!$Z$8="Y",'(4) A9 - Test Report Sheet'!I18&lt;'(4) A9 - Test Report Sheet'!$C$5),('(4) A9 - Test Report Sheet'!$Z$9-58)*(1-('(4) A9 - Test Report Sheet'!I18/'(4) A9 - Test Report Sheet'!$C$5)^0.75),0))</f>
        <v/>
      </c>
      <c r="G9" s="38" t="str">
        <f>IF('(4) A9 - Test Report Sheet'!B18="","",IF('(4) A9 - Test Report Sheet'!R18&lt;='(4) A9 - Test Report Sheet'!$S$4,0,MIN(10,'(4) A9 - Test Report Sheet'!$S$5*LOG('(4) A9 - Test Report Sheet'!R18/'(4) A9 - Test Report Sheet'!$S$4))))</f>
        <v/>
      </c>
      <c r="H9" s="38" t="str">
        <f>IF('(4) A9 - Test Report Sheet'!B18="","",('(4) A9 - Test Report Sheet'!$M$5+G9)*(1-'(4) A9 - Test Report Sheet'!$Z$4/(D9/100+'(4) A9 - Test Report Sheet'!$Z$5))/(1-'(4) A9 - Test Report Sheet'!$Z$4/(1+'(4) A9 - Test Report Sheet'!$Z$5))+0.3)</f>
        <v/>
      </c>
    </row>
    <row r="10" spans="1:8" ht="20.100000000000001" customHeight="1">
      <c r="A10" s="105">
        <v>2</v>
      </c>
      <c r="B10" s="37" t="str">
        <f>IF('(4) A9 - Test Report Sheet'!B19="","",IF('(4) A9 - Test Report Sheet'!$S$8="ICE",ROUND('(4) A9 - Test Report Sheet'!I19/'(4) A9 - Test Report Sheet'!J19*1000,2),IF(LEFT('(4) A9 - Test Report Sheet'!$S$8,2)="EV",30,IF(OR('(4) A9 - Test Report Sheet'!J19=0,'(4) A9 - Test Report Sheet'!J19=""),IF('(4) A9 - Test Report Sheet'!P19&lt;=0.3,30,20),ROUND('(4) A9 - Test Report Sheet'!I19/'(4) A9 - Test Report Sheet'!J19*1000,2)))))</f>
        <v/>
      </c>
      <c r="C10" s="37" t="str">
        <f>IF('(4) A9 - Test Report Sheet'!B19="","",ROUND('(3) Annex 9 - Setup Data'!$B$42/B10*'(3) Annex 9 - Setup Data'!$B$34,2))</f>
        <v/>
      </c>
      <c r="D10" s="89" t="str">
        <f>IF('(4) A9 - Test Report Sheet'!B19="","",MIN(100,MAX(0,'(4) A9 - Test Report Sheet'!P19/C10)*100))</f>
        <v/>
      </c>
      <c r="E10" s="89" t="str">
        <f>IF('(4) A9 - Test Report Sheet'!B19="","",IF('(4) A9 - Test Report Sheet'!$S$8="ICE",ROUND('(4) A9 - Test Report Sheet'!J19,0),ROUND('(4) A9 - Test Report Sheet'!I19/B10*1000,2)))</f>
        <v/>
      </c>
      <c r="F10" s="38" t="str">
        <f>IF('(4) A9 - Test Report Sheet'!B19="","",IF(AND('(4) A9 - Test Report Sheet'!$Z$8="Y",'(4) A9 - Test Report Sheet'!I19&lt;'(4) A9 - Test Report Sheet'!$C$5),('(4) A9 - Test Report Sheet'!$Z$9-58)*(1-('(4) A9 - Test Report Sheet'!I19/'(4) A9 - Test Report Sheet'!$C$5)^0.75),0))</f>
        <v/>
      </c>
      <c r="G10" s="38" t="str">
        <f>IF('(4) A9 - Test Report Sheet'!B19="","",IF('(4) A9 - Test Report Sheet'!R19&lt;='(4) A9 - Test Report Sheet'!$S$4,0,MIN(10,'(4) A9 - Test Report Sheet'!$S$5*LOG('(4) A9 - Test Report Sheet'!R19/'(4) A9 - Test Report Sheet'!$S$4))))</f>
        <v/>
      </c>
      <c r="H10" s="38" t="str">
        <f>IF('(4) A9 - Test Report Sheet'!B19="","",('(4) A9 - Test Report Sheet'!$M$5+G10)*(1-'(4) A9 - Test Report Sheet'!$Z$4/(D10/100+'(4) A9 - Test Report Sheet'!$Z$5))/(1-'(4) A9 - Test Report Sheet'!$Z$4/(1+'(4) A9 - Test Report Sheet'!$Z$5))+0.3)</f>
        <v/>
      </c>
    </row>
    <row r="11" spans="1:8" ht="20.100000000000001" customHeight="1">
      <c r="A11" s="105">
        <v>3</v>
      </c>
      <c r="B11" s="37" t="str">
        <f>IF('(4) A9 - Test Report Sheet'!B20="","",IF('(4) A9 - Test Report Sheet'!$S$8="ICE",ROUND('(4) A9 - Test Report Sheet'!I20/'(4) A9 - Test Report Sheet'!J20*1000,2),IF(LEFT('(4) A9 - Test Report Sheet'!$S$8,2)="EV",30,IF(OR('(4) A9 - Test Report Sheet'!J20=0,'(4) A9 - Test Report Sheet'!J20=""),IF('(4) A9 - Test Report Sheet'!P20&lt;=0.3,30,20),ROUND('(4) A9 - Test Report Sheet'!I20/'(4) A9 - Test Report Sheet'!J20*1000,2)))))</f>
        <v/>
      </c>
      <c r="C11" s="37" t="str">
        <f>IF('(4) A9 - Test Report Sheet'!B20="","",ROUND('(3) Annex 9 - Setup Data'!$B$42/B11*'(3) Annex 9 - Setup Data'!$B$34,2))</f>
        <v/>
      </c>
      <c r="D11" s="89" t="str">
        <f>IF('(4) A9 - Test Report Sheet'!B20="","",MIN(100,MAX(0,'(4) A9 - Test Report Sheet'!P20/C11)*100))</f>
        <v/>
      </c>
      <c r="E11" s="89" t="str">
        <f>IF('(4) A9 - Test Report Sheet'!B20="","",IF('(4) A9 - Test Report Sheet'!$S$8="ICE",ROUND('(4) A9 - Test Report Sheet'!J20,0),ROUND('(4) A9 - Test Report Sheet'!I20/B11*1000,2)))</f>
        <v/>
      </c>
      <c r="F11" s="38" t="str">
        <f>IF('(4) A9 - Test Report Sheet'!B20="","",IF(AND('(4) A9 - Test Report Sheet'!$Z$8="Y",'(4) A9 - Test Report Sheet'!I20&lt;'(4) A9 - Test Report Sheet'!$C$5),('(4) A9 - Test Report Sheet'!$Z$9-58)*(1-('(4) A9 - Test Report Sheet'!I20/'(4) A9 - Test Report Sheet'!$C$5)^0.75),0))</f>
        <v/>
      </c>
      <c r="G11" s="38" t="str">
        <f>IF('(4) A9 - Test Report Sheet'!B20="","",IF('(4) A9 - Test Report Sheet'!R20&lt;='(4) A9 - Test Report Sheet'!$S$4,0,MIN(10,'(4) A9 - Test Report Sheet'!$S$5*LOG('(4) A9 - Test Report Sheet'!R20/'(4) A9 - Test Report Sheet'!$S$4))))</f>
        <v/>
      </c>
      <c r="H11" s="38" t="str">
        <f>IF('(4) A9 - Test Report Sheet'!B20="","",('(4) A9 - Test Report Sheet'!$M$5+G11)*(1-'(4) A9 - Test Report Sheet'!$Z$4/(D11/100+'(4) A9 - Test Report Sheet'!$Z$5))/(1-'(4) A9 - Test Report Sheet'!$Z$4/(1+'(4) A9 - Test Report Sheet'!$Z$5))+0.3)</f>
        <v/>
      </c>
    </row>
    <row r="12" spans="1:8" ht="20.100000000000001" customHeight="1">
      <c r="A12" s="105">
        <v>4</v>
      </c>
      <c r="B12" s="37" t="str">
        <f>IF('(4) A9 - Test Report Sheet'!B21="","",IF('(4) A9 - Test Report Sheet'!$S$8="ICE",ROUND('(4) A9 - Test Report Sheet'!I21/'(4) A9 - Test Report Sheet'!J21*1000,2),IF(LEFT('(4) A9 - Test Report Sheet'!$S$8,2)="EV",30,IF(OR('(4) A9 - Test Report Sheet'!J21=0,'(4) A9 - Test Report Sheet'!J21=""),IF('(4) A9 - Test Report Sheet'!P21&lt;=0.3,30,20),ROUND('(4) A9 - Test Report Sheet'!I21/'(4) A9 - Test Report Sheet'!J21*1000,2)))))</f>
        <v/>
      </c>
      <c r="C12" s="37" t="str">
        <f>IF('(4) A9 - Test Report Sheet'!B21="","",ROUND('(3) Annex 9 - Setup Data'!$B$42/B12*'(3) Annex 9 - Setup Data'!$B$34,2))</f>
        <v/>
      </c>
      <c r="D12" s="89" t="str">
        <f>IF('(4) A9 - Test Report Sheet'!B21="","",MIN(100,MAX(0,'(4) A9 - Test Report Sheet'!P21/C12)*100))</f>
        <v/>
      </c>
      <c r="E12" s="89" t="str">
        <f>IF('(4) A9 - Test Report Sheet'!B21="","",IF('(4) A9 - Test Report Sheet'!$S$8="ICE",ROUND('(4) A9 - Test Report Sheet'!J21,0),ROUND('(4) A9 - Test Report Sheet'!I21/B12*1000,2)))</f>
        <v/>
      </c>
      <c r="F12" s="38" t="str">
        <f>IF('(4) A9 - Test Report Sheet'!B21="","",IF(AND('(4) A9 - Test Report Sheet'!$Z$8="Y",'(4) A9 - Test Report Sheet'!I21&lt;'(4) A9 - Test Report Sheet'!$C$5),('(4) A9 - Test Report Sheet'!$Z$9-58)*(1-('(4) A9 - Test Report Sheet'!I21/'(4) A9 - Test Report Sheet'!$C$5)^0.75),0))</f>
        <v/>
      </c>
      <c r="G12" s="38" t="str">
        <f>IF('(4) A9 - Test Report Sheet'!B21="","",IF('(4) A9 - Test Report Sheet'!R21&lt;='(4) A9 - Test Report Sheet'!$S$4,0,MIN(10,'(4) A9 - Test Report Sheet'!$S$5*LOG('(4) A9 - Test Report Sheet'!R21/'(4) A9 - Test Report Sheet'!$S$4))))</f>
        <v/>
      </c>
      <c r="H12" s="38" t="str">
        <f>IF('(4) A9 - Test Report Sheet'!B21="","",('(4) A9 - Test Report Sheet'!$M$5+G12)*(1-'(4) A9 - Test Report Sheet'!$Z$4/(D12/100+'(4) A9 - Test Report Sheet'!$Z$5))/(1-'(4) A9 - Test Report Sheet'!$Z$4/(1+'(4) A9 - Test Report Sheet'!$Z$5))+0.3)</f>
        <v/>
      </c>
    </row>
    <row r="13" spans="1:8" ht="20.100000000000001" customHeight="1">
      <c r="A13" s="105">
        <v>5</v>
      </c>
      <c r="B13" s="37" t="str">
        <f>IF('(4) A9 - Test Report Sheet'!B22="","",IF('(4) A9 - Test Report Sheet'!$S$8="ICE",ROUND('(4) A9 - Test Report Sheet'!I22/'(4) A9 - Test Report Sheet'!J22*1000,2),IF(LEFT('(4) A9 - Test Report Sheet'!$S$8,2)="EV",30,IF(OR('(4) A9 - Test Report Sheet'!J22=0,'(4) A9 - Test Report Sheet'!J22=""),IF('(4) A9 - Test Report Sheet'!P22&lt;=0.3,30,20),ROUND('(4) A9 - Test Report Sheet'!I22/'(4) A9 - Test Report Sheet'!J22*1000,2)))))</f>
        <v/>
      </c>
      <c r="C13" s="37" t="str">
        <f>IF('(4) A9 - Test Report Sheet'!B22="","",ROUND('(3) Annex 9 - Setup Data'!$B$42/B13*'(3) Annex 9 - Setup Data'!$B$34,2))</f>
        <v/>
      </c>
      <c r="D13" s="89" t="str">
        <f>IF('(4) A9 - Test Report Sheet'!B22="","",MIN(100,MAX(0,'(4) A9 - Test Report Sheet'!P22/C13)*100))</f>
        <v/>
      </c>
      <c r="E13" s="89" t="str">
        <f>IF('(4) A9 - Test Report Sheet'!B22="","",IF('(4) A9 - Test Report Sheet'!$S$8="ICE",ROUND('(4) A9 - Test Report Sheet'!J22,0),ROUND('(4) A9 - Test Report Sheet'!I22/B13*1000,2)))</f>
        <v/>
      </c>
      <c r="F13" s="38" t="str">
        <f>IF('(4) A9 - Test Report Sheet'!B22="","",IF(AND('(4) A9 - Test Report Sheet'!$Z$8="Y",'(4) A9 - Test Report Sheet'!I22&lt;'(4) A9 - Test Report Sheet'!$C$5),('(4) A9 - Test Report Sheet'!$Z$9-58)*(1-('(4) A9 - Test Report Sheet'!I22/'(4) A9 - Test Report Sheet'!$C$5)^0.75),0))</f>
        <v/>
      </c>
      <c r="G13" s="38" t="str">
        <f>IF('(4) A9 - Test Report Sheet'!B22="","",IF('(4) A9 - Test Report Sheet'!R22&lt;='(4) A9 - Test Report Sheet'!$S$4,0,MIN(10,'(4) A9 - Test Report Sheet'!$S$5*LOG('(4) A9 - Test Report Sheet'!R22/'(4) A9 - Test Report Sheet'!$S$4))))</f>
        <v/>
      </c>
      <c r="H13" s="38" t="str">
        <f>IF('(4) A9 - Test Report Sheet'!B22="","",('(4) A9 - Test Report Sheet'!$M$5+G13)*(1-'(4) A9 - Test Report Sheet'!$Z$4/(D13/100+'(4) A9 - Test Report Sheet'!$Z$5))/(1-'(4) A9 - Test Report Sheet'!$Z$4/(1+'(4) A9 - Test Report Sheet'!$Z$5))+0.3)</f>
        <v/>
      </c>
    </row>
    <row r="14" spans="1:8" ht="20.100000000000001" customHeight="1">
      <c r="A14" s="105">
        <v>6</v>
      </c>
      <c r="B14" s="37" t="str">
        <f>IF('(4) A9 - Test Report Sheet'!B23="","",IF('(4) A9 - Test Report Sheet'!$S$8="ICE",ROUND('(4) A9 - Test Report Sheet'!I23/'(4) A9 - Test Report Sheet'!J23*1000,2),IF(LEFT('(4) A9 - Test Report Sheet'!$S$8,2)="EV",30,IF(OR('(4) A9 - Test Report Sheet'!J23=0,'(4) A9 - Test Report Sheet'!J23=""),IF('(4) A9 - Test Report Sheet'!P23&lt;=0.3,30,20),ROUND('(4) A9 - Test Report Sheet'!I23/'(4) A9 - Test Report Sheet'!J23*1000,2)))))</f>
        <v/>
      </c>
      <c r="C14" s="37" t="str">
        <f>IF('(4) A9 - Test Report Sheet'!B23="","",ROUND('(3) Annex 9 - Setup Data'!$B$42/B14*'(3) Annex 9 - Setup Data'!$B$34,2))</f>
        <v/>
      </c>
      <c r="D14" s="89" t="str">
        <f>IF('(4) A9 - Test Report Sheet'!B23="","",MIN(100,MAX(0,'(4) A9 - Test Report Sheet'!P23/C14)*100))</f>
        <v/>
      </c>
      <c r="E14" s="89" t="str">
        <f>IF('(4) A9 - Test Report Sheet'!B23="","",IF('(4) A9 - Test Report Sheet'!$S$8="ICE",ROUND('(4) A9 - Test Report Sheet'!J23,0),ROUND('(4) A9 - Test Report Sheet'!I23/B14*1000,2)))</f>
        <v/>
      </c>
      <c r="F14" s="38" t="str">
        <f>IF('(4) A9 - Test Report Sheet'!B23="","",IF(AND('(4) A9 - Test Report Sheet'!$Z$8="Y",'(4) A9 - Test Report Sheet'!I23&lt;'(4) A9 - Test Report Sheet'!$C$5),('(4) A9 - Test Report Sheet'!$Z$9-58)*(1-('(4) A9 - Test Report Sheet'!I23/'(4) A9 - Test Report Sheet'!$C$5)^0.75),0))</f>
        <v/>
      </c>
      <c r="G14" s="38" t="str">
        <f>IF('(4) A9 - Test Report Sheet'!B23="","",IF('(4) A9 - Test Report Sheet'!R23&lt;='(4) A9 - Test Report Sheet'!$S$4,0,MIN(10,'(4) A9 - Test Report Sheet'!$S$5*LOG('(4) A9 - Test Report Sheet'!R23/'(4) A9 - Test Report Sheet'!$S$4))))</f>
        <v/>
      </c>
      <c r="H14" s="38" t="str">
        <f>IF('(4) A9 - Test Report Sheet'!B23="","",('(4) A9 - Test Report Sheet'!$M$5+G14)*(1-'(4) A9 - Test Report Sheet'!$Z$4/(D14/100+'(4) A9 - Test Report Sheet'!$Z$5))/(1-'(4) A9 - Test Report Sheet'!$Z$4/(1+'(4) A9 - Test Report Sheet'!$Z$5))+0.3)</f>
        <v/>
      </c>
    </row>
    <row r="15" spans="1:8" ht="20.100000000000001" customHeight="1">
      <c r="A15" s="105">
        <v>7</v>
      </c>
      <c r="B15" s="37" t="str">
        <f>IF('(4) A9 - Test Report Sheet'!B24="","",IF('(4) A9 - Test Report Sheet'!$S$8="ICE",ROUND('(4) A9 - Test Report Sheet'!I24/'(4) A9 - Test Report Sheet'!J24*1000,2),IF(LEFT('(4) A9 - Test Report Sheet'!$S$8,2)="EV",30,IF(OR('(4) A9 - Test Report Sheet'!J24=0,'(4) A9 - Test Report Sheet'!J24=""),IF('(4) A9 - Test Report Sheet'!P24&lt;=0.3,30,20),ROUND('(4) A9 - Test Report Sheet'!I24/'(4) A9 - Test Report Sheet'!J24*1000,2)))))</f>
        <v/>
      </c>
      <c r="C15" s="37" t="str">
        <f>IF('(4) A9 - Test Report Sheet'!B24="","",ROUND('(3) Annex 9 - Setup Data'!$B$42/B15*'(3) Annex 9 - Setup Data'!$B$34,2))</f>
        <v/>
      </c>
      <c r="D15" s="89" t="str">
        <f>IF('(4) A9 - Test Report Sheet'!B24="","",MIN(100,MAX(0,'(4) A9 - Test Report Sheet'!P24/C15)*100))</f>
        <v/>
      </c>
      <c r="E15" s="89" t="str">
        <f>IF('(4) A9 - Test Report Sheet'!B24="","",IF('(4) A9 - Test Report Sheet'!$S$8="ICE",ROUND('(4) A9 - Test Report Sheet'!J24,0),ROUND('(4) A9 - Test Report Sheet'!I24/B15*1000,2)))</f>
        <v/>
      </c>
      <c r="F15" s="38" t="str">
        <f>IF('(4) A9 - Test Report Sheet'!B24="","",IF(AND('(4) A9 - Test Report Sheet'!$Z$8="Y",'(4) A9 - Test Report Sheet'!I24&lt;'(4) A9 - Test Report Sheet'!$C$5),('(4) A9 - Test Report Sheet'!$Z$9-58)*(1-('(4) A9 - Test Report Sheet'!I24/'(4) A9 - Test Report Sheet'!$C$5)^0.75),0))</f>
        <v/>
      </c>
      <c r="G15" s="38" t="str">
        <f>IF('(4) A9 - Test Report Sheet'!B24="","",IF('(4) A9 - Test Report Sheet'!R24&lt;='(4) A9 - Test Report Sheet'!$S$4,0,MIN(10,'(4) A9 - Test Report Sheet'!$S$5*LOG('(4) A9 - Test Report Sheet'!R24/'(4) A9 - Test Report Sheet'!$S$4))))</f>
        <v/>
      </c>
      <c r="H15" s="38" t="str">
        <f>IF('(4) A9 - Test Report Sheet'!B24="","",('(4) A9 - Test Report Sheet'!$M$5+G15)*(1-'(4) A9 - Test Report Sheet'!$Z$4/(D15/100+'(4) A9 - Test Report Sheet'!$Z$5))/(1-'(4) A9 - Test Report Sheet'!$Z$4/(1+'(4) A9 - Test Report Sheet'!$Z$5))+0.3)</f>
        <v/>
      </c>
    </row>
    <row r="16" spans="1:8" ht="20.100000000000001" customHeight="1">
      <c r="A16" s="105">
        <v>8</v>
      </c>
      <c r="B16" s="37" t="str">
        <f>IF('(4) A9 - Test Report Sheet'!B25="","",IF('(4) A9 - Test Report Sheet'!$S$8="ICE",ROUND('(4) A9 - Test Report Sheet'!I25/'(4) A9 - Test Report Sheet'!J25*1000,2),IF(LEFT('(4) A9 - Test Report Sheet'!$S$8,2)="EV",30,IF(OR('(4) A9 - Test Report Sheet'!J25=0,'(4) A9 - Test Report Sheet'!J25=""),IF('(4) A9 - Test Report Sheet'!P25&lt;=0.3,30,20),ROUND('(4) A9 - Test Report Sheet'!I25/'(4) A9 - Test Report Sheet'!J25*1000,2)))))</f>
        <v/>
      </c>
      <c r="C16" s="37" t="str">
        <f>IF('(4) A9 - Test Report Sheet'!B25="","",ROUND('(3) Annex 9 - Setup Data'!$B$42/B16*'(3) Annex 9 - Setup Data'!$B$34,2))</f>
        <v/>
      </c>
      <c r="D16" s="89" t="str">
        <f>IF('(4) A9 - Test Report Sheet'!B25="","",MIN(100,MAX(0,'(4) A9 - Test Report Sheet'!P25/C16)*100))</f>
        <v/>
      </c>
      <c r="E16" s="89" t="str">
        <f>IF('(4) A9 - Test Report Sheet'!B25="","",IF('(4) A9 - Test Report Sheet'!$S$8="ICE",ROUND('(4) A9 - Test Report Sheet'!J25,0),ROUND('(4) A9 - Test Report Sheet'!I25/B16*1000,2)))</f>
        <v/>
      </c>
      <c r="F16" s="38" t="str">
        <f>IF('(4) A9 - Test Report Sheet'!B25="","",IF(AND('(4) A9 - Test Report Sheet'!$Z$8="Y",'(4) A9 - Test Report Sheet'!I25&lt;'(4) A9 - Test Report Sheet'!$C$5),('(4) A9 - Test Report Sheet'!$Z$9-58)*(1-('(4) A9 - Test Report Sheet'!I25/'(4) A9 - Test Report Sheet'!$C$5)^0.75),0))</f>
        <v/>
      </c>
      <c r="G16" s="38" t="str">
        <f>IF('(4) A9 - Test Report Sheet'!B25="","",IF('(4) A9 - Test Report Sheet'!R25&lt;='(4) A9 - Test Report Sheet'!$S$4,0,MIN(10,'(4) A9 - Test Report Sheet'!$S$5*LOG('(4) A9 - Test Report Sheet'!R25/'(4) A9 - Test Report Sheet'!$S$4))))</f>
        <v/>
      </c>
      <c r="H16" s="38" t="str">
        <f>IF('(4) A9 - Test Report Sheet'!B25="","",('(4) A9 - Test Report Sheet'!$M$5+G16)*(1-'(4) A9 - Test Report Sheet'!$Z$4/(D16/100+'(4) A9 - Test Report Sheet'!$Z$5))/(1-'(4) A9 - Test Report Sheet'!$Z$4/(1+'(4) A9 - Test Report Sheet'!$Z$5))+0.3)</f>
        <v/>
      </c>
    </row>
    <row r="17" spans="1:8" ht="20.100000000000001" customHeight="1">
      <c r="A17" s="105">
        <v>9</v>
      </c>
      <c r="B17" s="37" t="str">
        <f>IF('(4) A9 - Test Report Sheet'!B26="","",IF('(4) A9 - Test Report Sheet'!$S$8="ICE",ROUND('(4) A9 - Test Report Sheet'!I26/'(4) A9 - Test Report Sheet'!J26*1000,2),IF(LEFT('(4) A9 - Test Report Sheet'!$S$8,2)="EV",30,IF(OR('(4) A9 - Test Report Sheet'!J26=0,'(4) A9 - Test Report Sheet'!J26=""),IF('(4) A9 - Test Report Sheet'!P26&lt;=0.3,30,20),ROUND('(4) A9 - Test Report Sheet'!I26/'(4) A9 - Test Report Sheet'!J26*1000,2)))))</f>
        <v/>
      </c>
      <c r="C17" s="37" t="str">
        <f>IF('(4) A9 - Test Report Sheet'!B26="","",ROUND('(3) Annex 9 - Setup Data'!$B$42/B17*'(3) Annex 9 - Setup Data'!$B$34,2))</f>
        <v/>
      </c>
      <c r="D17" s="89" t="str">
        <f>IF('(4) A9 - Test Report Sheet'!B26="","",MIN(100,MAX(0,'(4) A9 - Test Report Sheet'!P26/C17)*100))</f>
        <v/>
      </c>
      <c r="E17" s="89" t="str">
        <f>IF('(4) A9 - Test Report Sheet'!B26="","",IF('(4) A9 - Test Report Sheet'!$S$8="ICE",ROUND('(4) A9 - Test Report Sheet'!J26,0),ROUND('(4) A9 - Test Report Sheet'!I26/B17*1000,2)))</f>
        <v/>
      </c>
      <c r="F17" s="38" t="str">
        <f>IF('(4) A9 - Test Report Sheet'!B26="","",IF(AND('(4) A9 - Test Report Sheet'!$Z$8="Y",'(4) A9 - Test Report Sheet'!I26&lt;'(4) A9 - Test Report Sheet'!$C$5),('(4) A9 - Test Report Sheet'!$Z$9-58)*(1-('(4) A9 - Test Report Sheet'!I26/'(4) A9 - Test Report Sheet'!$C$5)^0.75),0))</f>
        <v/>
      </c>
      <c r="G17" s="38" t="str">
        <f>IF('(4) A9 - Test Report Sheet'!B26="","",IF('(4) A9 - Test Report Sheet'!R26&lt;='(4) A9 - Test Report Sheet'!$S$4,0,MIN(10,'(4) A9 - Test Report Sheet'!$S$5*LOG('(4) A9 - Test Report Sheet'!R26/'(4) A9 - Test Report Sheet'!$S$4))))</f>
        <v/>
      </c>
      <c r="H17" s="38" t="str">
        <f>IF('(4) A9 - Test Report Sheet'!B26="","",('(4) A9 - Test Report Sheet'!$M$5+G17)*(1-'(4) A9 - Test Report Sheet'!$Z$4/(D17/100+'(4) A9 - Test Report Sheet'!$Z$5))/(1-'(4) A9 - Test Report Sheet'!$Z$4/(1+'(4) A9 - Test Report Sheet'!$Z$5))+0.3)</f>
        <v/>
      </c>
    </row>
    <row r="18" spans="1:8" ht="20.100000000000001" customHeight="1">
      <c r="A18" s="105">
        <v>10</v>
      </c>
      <c r="B18" s="37" t="str">
        <f>IF('(4) A9 - Test Report Sheet'!B27="","",IF('(4) A9 - Test Report Sheet'!$S$8="ICE",ROUND('(4) A9 - Test Report Sheet'!I27/'(4) A9 - Test Report Sheet'!J27*1000,2),IF(LEFT('(4) A9 - Test Report Sheet'!$S$8,2)="EV",30,IF(OR('(4) A9 - Test Report Sheet'!J27=0,'(4) A9 - Test Report Sheet'!J27=""),IF('(4) A9 - Test Report Sheet'!P27&lt;=0.3,30,20),ROUND('(4) A9 - Test Report Sheet'!I27/'(4) A9 - Test Report Sheet'!J27*1000,2)))))</f>
        <v/>
      </c>
      <c r="C18" s="37" t="str">
        <f>IF('(4) A9 - Test Report Sheet'!B27="","",ROUND('(3) Annex 9 - Setup Data'!$B$42/B18*'(3) Annex 9 - Setup Data'!$B$34,2))</f>
        <v/>
      </c>
      <c r="D18" s="89" t="str">
        <f>IF('(4) A9 - Test Report Sheet'!B27="","",MIN(100,MAX(0,'(4) A9 - Test Report Sheet'!P27/C18)*100))</f>
        <v/>
      </c>
      <c r="E18" s="89" t="str">
        <f>IF('(4) A9 - Test Report Sheet'!B27="","",IF('(4) A9 - Test Report Sheet'!$S$8="ICE",ROUND('(4) A9 - Test Report Sheet'!J27,0),ROUND('(4) A9 - Test Report Sheet'!I27/B18*1000,2)))</f>
        <v/>
      </c>
      <c r="F18" s="38" t="str">
        <f>IF('(4) A9 - Test Report Sheet'!B27="","",IF(AND('(4) A9 - Test Report Sheet'!$Z$8="Y",'(4) A9 - Test Report Sheet'!I27&lt;'(4) A9 - Test Report Sheet'!$C$5),('(4) A9 - Test Report Sheet'!$Z$9-58)*(1-('(4) A9 - Test Report Sheet'!I27/'(4) A9 - Test Report Sheet'!$C$5)^0.75),0))</f>
        <v/>
      </c>
      <c r="G18" s="38" t="str">
        <f>IF('(4) A9 - Test Report Sheet'!B27="","",IF('(4) A9 - Test Report Sheet'!R27&lt;='(4) A9 - Test Report Sheet'!$S$4,0,MIN(10,'(4) A9 - Test Report Sheet'!$S$5*LOG('(4) A9 - Test Report Sheet'!R27/'(4) A9 - Test Report Sheet'!$S$4))))</f>
        <v/>
      </c>
      <c r="H18" s="38" t="str">
        <f>IF('(4) A9 - Test Report Sheet'!B27="","",('(4) A9 - Test Report Sheet'!$M$5+G18)*(1-'(4) A9 - Test Report Sheet'!$Z$4/(D18/100+'(4) A9 - Test Report Sheet'!$Z$5))/(1-'(4) A9 - Test Report Sheet'!$Z$4/(1+'(4) A9 - Test Report Sheet'!$Z$5))+0.3)</f>
        <v/>
      </c>
    </row>
    <row r="19" spans="1:8" ht="20.100000000000001" customHeight="1">
      <c r="A19" s="105">
        <v>11</v>
      </c>
      <c r="B19" s="37" t="str">
        <f>IF('(4) A9 - Test Report Sheet'!B28="","",IF('(4) A9 - Test Report Sheet'!$S$8="ICE",ROUND('(4) A9 - Test Report Sheet'!I28/'(4) A9 - Test Report Sheet'!J28*1000,2),IF(LEFT('(4) A9 - Test Report Sheet'!$S$8,2)="EV",30,IF(OR('(4) A9 - Test Report Sheet'!J28=0,'(4) A9 - Test Report Sheet'!J28=""),IF('(4) A9 - Test Report Sheet'!P28&lt;=0.3,30,20),ROUND('(4) A9 - Test Report Sheet'!I28/'(4) A9 - Test Report Sheet'!J28*1000,2)))))</f>
        <v/>
      </c>
      <c r="C19" s="37" t="str">
        <f>IF('(4) A9 - Test Report Sheet'!B28="","",ROUND('(3) Annex 9 - Setup Data'!$B$42/B19*'(3) Annex 9 - Setup Data'!$B$34,2))</f>
        <v/>
      </c>
      <c r="D19" s="89" t="str">
        <f>IF('(4) A9 - Test Report Sheet'!B28="","",MIN(100,MAX(0,'(4) A9 - Test Report Sheet'!P28/C19)*100))</f>
        <v/>
      </c>
      <c r="E19" s="89" t="str">
        <f>IF('(4) A9 - Test Report Sheet'!B28="","",IF('(4) A9 - Test Report Sheet'!$S$8="ICE",ROUND('(4) A9 - Test Report Sheet'!J28,0),ROUND('(4) A9 - Test Report Sheet'!I28/B19*1000,2)))</f>
        <v/>
      </c>
      <c r="F19" s="38" t="str">
        <f>IF('(4) A9 - Test Report Sheet'!B28="","",IF(AND('(4) A9 - Test Report Sheet'!$Z$8="Y",'(4) A9 - Test Report Sheet'!I28&lt;'(4) A9 - Test Report Sheet'!$C$5),('(4) A9 - Test Report Sheet'!$Z$9-58)*(1-('(4) A9 - Test Report Sheet'!I28/'(4) A9 - Test Report Sheet'!$C$5)^0.75),0))</f>
        <v/>
      </c>
      <c r="G19" s="38" t="str">
        <f>IF('(4) A9 - Test Report Sheet'!B28="","",IF('(4) A9 - Test Report Sheet'!R28&lt;='(4) A9 - Test Report Sheet'!$S$4,0,MIN(10,'(4) A9 - Test Report Sheet'!$S$5*LOG('(4) A9 - Test Report Sheet'!R28/'(4) A9 - Test Report Sheet'!$S$4))))</f>
        <v/>
      </c>
      <c r="H19" s="38" t="str">
        <f>IF('(4) A9 - Test Report Sheet'!B28="","",('(4) A9 - Test Report Sheet'!$M$5+G19)*(1-'(4) A9 - Test Report Sheet'!$Z$4/(D19/100+'(4) A9 - Test Report Sheet'!$Z$5))/(1-'(4) A9 - Test Report Sheet'!$Z$4/(1+'(4) A9 - Test Report Sheet'!$Z$5))+0.3)</f>
        <v/>
      </c>
    </row>
    <row r="20" spans="1:8" ht="20.100000000000001" customHeight="1">
      <c r="A20" s="105">
        <v>12</v>
      </c>
      <c r="B20" s="37" t="str">
        <f>IF('(4) A9 - Test Report Sheet'!B29="","",IF('(4) A9 - Test Report Sheet'!$S$8="ICE",ROUND('(4) A9 - Test Report Sheet'!I29/'(4) A9 - Test Report Sheet'!J29*1000,2),IF(LEFT('(4) A9 - Test Report Sheet'!$S$8,2)="EV",30,IF(OR('(4) A9 - Test Report Sheet'!J29=0,'(4) A9 - Test Report Sheet'!J29=""),IF('(4) A9 - Test Report Sheet'!P29&lt;=0.3,30,20),ROUND('(4) A9 - Test Report Sheet'!I29/'(4) A9 - Test Report Sheet'!J29*1000,2)))))</f>
        <v/>
      </c>
      <c r="C20" s="37" t="str">
        <f>IF('(4) A9 - Test Report Sheet'!B29="","",ROUND('(3) Annex 9 - Setup Data'!$B$42/B20*'(3) Annex 9 - Setup Data'!$B$34,2))</f>
        <v/>
      </c>
      <c r="D20" s="89" t="str">
        <f>IF('(4) A9 - Test Report Sheet'!B29="","",MIN(100,MAX(0,'(4) A9 - Test Report Sheet'!P29/C20)*100))</f>
        <v/>
      </c>
      <c r="E20" s="89" t="str">
        <f>IF('(4) A9 - Test Report Sheet'!B29="","",IF('(4) A9 - Test Report Sheet'!$S$8="ICE",ROUND('(4) A9 - Test Report Sheet'!J29,0),ROUND('(4) A9 - Test Report Sheet'!I29/B20*1000,2)))</f>
        <v/>
      </c>
      <c r="F20" s="38" t="str">
        <f>IF('(4) A9 - Test Report Sheet'!B29="","",IF(AND('(4) A9 - Test Report Sheet'!$Z$8="Y",'(4) A9 - Test Report Sheet'!I29&lt;'(4) A9 - Test Report Sheet'!$C$5),('(4) A9 - Test Report Sheet'!$Z$9-58)*(1-('(4) A9 - Test Report Sheet'!I29/'(4) A9 - Test Report Sheet'!$C$5)^0.75),0))</f>
        <v/>
      </c>
      <c r="G20" s="38" t="str">
        <f>IF('(4) A9 - Test Report Sheet'!B29="","",IF('(4) A9 - Test Report Sheet'!R29&lt;='(4) A9 - Test Report Sheet'!$S$4,0,MIN(10,'(4) A9 - Test Report Sheet'!$S$5*LOG('(4) A9 - Test Report Sheet'!R29/'(4) A9 - Test Report Sheet'!$S$4))))</f>
        <v/>
      </c>
      <c r="H20" s="38" t="str">
        <f>IF('(4) A9 - Test Report Sheet'!B29="","",('(4) A9 - Test Report Sheet'!$M$5+G20)*(1-'(4) A9 - Test Report Sheet'!$Z$4/(D20/100+'(4) A9 - Test Report Sheet'!$Z$5))/(1-'(4) A9 - Test Report Sheet'!$Z$4/(1+'(4) A9 - Test Report Sheet'!$Z$5))+0.3)</f>
        <v/>
      </c>
    </row>
    <row r="21" spans="1:8" ht="20.100000000000001" customHeight="1">
      <c r="A21" s="105">
        <v>13</v>
      </c>
      <c r="B21" s="37" t="str">
        <f>IF('(4) A9 - Test Report Sheet'!B30="","",IF('(4) A9 - Test Report Sheet'!$S$8="ICE",ROUND('(4) A9 - Test Report Sheet'!I30/'(4) A9 - Test Report Sheet'!J30*1000,2),IF(LEFT('(4) A9 - Test Report Sheet'!$S$8,2)="EV",30,IF(OR('(4) A9 - Test Report Sheet'!J30=0,'(4) A9 - Test Report Sheet'!J30=""),IF('(4) A9 - Test Report Sheet'!P30&lt;=0.3,30,20),ROUND('(4) A9 - Test Report Sheet'!I30/'(4) A9 - Test Report Sheet'!J30*1000,2)))))</f>
        <v/>
      </c>
      <c r="C21" s="37" t="str">
        <f>IF('(4) A9 - Test Report Sheet'!B30="","",ROUND('(3) Annex 9 - Setup Data'!$B$42/B21*'(3) Annex 9 - Setup Data'!$B$34,2))</f>
        <v/>
      </c>
      <c r="D21" s="89" t="str">
        <f>IF('(4) A9 - Test Report Sheet'!B30="","",MIN(100,MAX(0,'(4) A9 - Test Report Sheet'!P30/C21)*100))</f>
        <v/>
      </c>
      <c r="E21" s="89" t="str">
        <f>IF('(4) A9 - Test Report Sheet'!B30="","",IF('(4) A9 - Test Report Sheet'!$S$8="ICE",ROUND('(4) A9 - Test Report Sheet'!J30,0),ROUND('(4) A9 - Test Report Sheet'!I30/B21*1000,2)))</f>
        <v/>
      </c>
      <c r="F21" s="38" t="str">
        <f>IF('(4) A9 - Test Report Sheet'!B30="","",IF(AND('(4) A9 - Test Report Sheet'!$Z$8="Y",'(4) A9 - Test Report Sheet'!I30&lt;'(4) A9 - Test Report Sheet'!$C$5),('(4) A9 - Test Report Sheet'!$Z$9-58)*(1-('(4) A9 - Test Report Sheet'!I30/'(4) A9 - Test Report Sheet'!$C$5)^0.75),0))</f>
        <v/>
      </c>
      <c r="G21" s="38" t="str">
        <f>IF('(4) A9 - Test Report Sheet'!B30="","",IF('(4) A9 - Test Report Sheet'!R30&lt;='(4) A9 - Test Report Sheet'!$S$4,0,MIN(10,'(4) A9 - Test Report Sheet'!$S$5*LOG('(4) A9 - Test Report Sheet'!R30/'(4) A9 - Test Report Sheet'!$S$4))))</f>
        <v/>
      </c>
      <c r="H21" s="38" t="str">
        <f>IF('(4) A9 - Test Report Sheet'!B30="","",('(4) A9 - Test Report Sheet'!$M$5+G21)*(1-'(4) A9 - Test Report Sheet'!$Z$4/(D21/100+'(4) A9 - Test Report Sheet'!$Z$5))/(1-'(4) A9 - Test Report Sheet'!$Z$4/(1+'(4) A9 - Test Report Sheet'!$Z$5))+0.3)</f>
        <v/>
      </c>
    </row>
    <row r="22" spans="1:8" ht="20.100000000000001" customHeight="1">
      <c r="A22" s="105">
        <v>14</v>
      </c>
      <c r="B22" s="37" t="str">
        <f>IF('(4) A9 - Test Report Sheet'!B31="","",IF('(4) A9 - Test Report Sheet'!$S$8="ICE",ROUND('(4) A9 - Test Report Sheet'!I31/'(4) A9 - Test Report Sheet'!J31*1000,2),IF(LEFT('(4) A9 - Test Report Sheet'!$S$8,2)="EV",30,IF(OR('(4) A9 - Test Report Sheet'!J31=0,'(4) A9 - Test Report Sheet'!J31=""),IF('(4) A9 - Test Report Sheet'!P31&lt;=0.3,30,20),ROUND('(4) A9 - Test Report Sheet'!I31/'(4) A9 - Test Report Sheet'!J31*1000,2)))))</f>
        <v/>
      </c>
      <c r="C22" s="37" t="str">
        <f>IF('(4) A9 - Test Report Sheet'!B31="","",ROUND('(3) Annex 9 - Setup Data'!$B$42/B22*'(3) Annex 9 - Setup Data'!$B$34,2))</f>
        <v/>
      </c>
      <c r="D22" s="89" t="str">
        <f>IF('(4) A9 - Test Report Sheet'!B31="","",MIN(100,MAX(0,'(4) A9 - Test Report Sheet'!P31/C22)*100))</f>
        <v/>
      </c>
      <c r="E22" s="89" t="str">
        <f>IF('(4) A9 - Test Report Sheet'!B31="","",IF('(4) A9 - Test Report Sheet'!$S$8="ICE",ROUND('(4) A9 - Test Report Sheet'!J31,0),ROUND('(4) A9 - Test Report Sheet'!I31/B22*1000,2)))</f>
        <v/>
      </c>
      <c r="F22" s="38" t="str">
        <f>IF('(4) A9 - Test Report Sheet'!B31="","",IF(AND('(4) A9 - Test Report Sheet'!$Z$8="Y",'(4) A9 - Test Report Sheet'!I31&lt;'(4) A9 - Test Report Sheet'!$C$5),('(4) A9 - Test Report Sheet'!$Z$9-58)*(1-('(4) A9 - Test Report Sheet'!I31/'(4) A9 - Test Report Sheet'!$C$5)^0.75),0))</f>
        <v/>
      </c>
      <c r="G22" s="38" t="str">
        <f>IF('(4) A9 - Test Report Sheet'!B31="","",IF('(4) A9 - Test Report Sheet'!R31&lt;='(4) A9 - Test Report Sheet'!$S$4,0,MIN(10,'(4) A9 - Test Report Sheet'!$S$5*LOG('(4) A9 - Test Report Sheet'!R31/'(4) A9 - Test Report Sheet'!$S$4))))</f>
        <v/>
      </c>
      <c r="H22" s="38" t="str">
        <f>IF('(4) A9 - Test Report Sheet'!B31="","",('(4) A9 - Test Report Sheet'!$M$5+G22)*(1-'(4) A9 - Test Report Sheet'!$Z$4/(D22/100+'(4) A9 - Test Report Sheet'!$Z$5))/(1-'(4) A9 - Test Report Sheet'!$Z$4/(1+'(4) A9 - Test Report Sheet'!$Z$5))+0.3)</f>
        <v/>
      </c>
    </row>
    <row r="23" spans="1:8" ht="20.100000000000001" customHeight="1">
      <c r="A23" s="105">
        <v>15</v>
      </c>
      <c r="B23" s="37" t="str">
        <f>IF('(4) A9 - Test Report Sheet'!B32="","",IF('(4) A9 - Test Report Sheet'!$S$8="ICE",ROUND('(4) A9 - Test Report Sheet'!I32/'(4) A9 - Test Report Sheet'!J32*1000,2),IF(LEFT('(4) A9 - Test Report Sheet'!$S$8,2)="EV",30,IF(OR('(4) A9 - Test Report Sheet'!J32=0,'(4) A9 - Test Report Sheet'!J32=""),IF('(4) A9 - Test Report Sheet'!P32&lt;=0.3,30,20),ROUND('(4) A9 - Test Report Sheet'!I32/'(4) A9 - Test Report Sheet'!J32*1000,2)))))</f>
        <v/>
      </c>
      <c r="C23" s="37" t="str">
        <f>IF('(4) A9 - Test Report Sheet'!B32="","",ROUND('(3) Annex 9 - Setup Data'!$B$42/B23*'(3) Annex 9 - Setup Data'!$B$34,2))</f>
        <v/>
      </c>
      <c r="D23" s="89" t="str">
        <f>IF('(4) A9 - Test Report Sheet'!B32="","",MIN(100,MAX(0,'(4) A9 - Test Report Sheet'!P32/C23)*100))</f>
        <v/>
      </c>
      <c r="E23" s="89" t="str">
        <f>IF('(4) A9 - Test Report Sheet'!B32="","",IF('(4) A9 - Test Report Sheet'!$S$8="ICE",ROUND('(4) A9 - Test Report Sheet'!J32,0),ROUND('(4) A9 - Test Report Sheet'!I32/B23*1000,2)))</f>
        <v/>
      </c>
      <c r="F23" s="38" t="str">
        <f>IF('(4) A9 - Test Report Sheet'!B32="","",IF(AND('(4) A9 - Test Report Sheet'!$Z$8="Y",'(4) A9 - Test Report Sheet'!I32&lt;'(4) A9 - Test Report Sheet'!$C$5),('(4) A9 - Test Report Sheet'!$Z$9-58)*(1-('(4) A9 - Test Report Sheet'!I32/'(4) A9 - Test Report Sheet'!$C$5)^0.75),0))</f>
        <v/>
      </c>
      <c r="G23" s="38" t="str">
        <f>IF('(4) A9 - Test Report Sheet'!B32="","",IF('(4) A9 - Test Report Sheet'!R32&lt;='(4) A9 - Test Report Sheet'!$S$4,0,MIN(10,'(4) A9 - Test Report Sheet'!$S$5*LOG('(4) A9 - Test Report Sheet'!R32/'(4) A9 - Test Report Sheet'!$S$4))))</f>
        <v/>
      </c>
      <c r="H23" s="38" t="str">
        <f>IF('(4) A9 - Test Report Sheet'!B32="","",('(4) A9 - Test Report Sheet'!$M$5+G23)*(1-'(4) A9 - Test Report Sheet'!$Z$4/(D23/100+'(4) A9 - Test Report Sheet'!$Z$5))/(1-'(4) A9 - Test Report Sheet'!$Z$4/(1+'(4) A9 - Test Report Sheet'!$Z$5))+0.3)</f>
        <v/>
      </c>
    </row>
    <row r="24" spans="1:8" ht="20.100000000000001" customHeight="1">
      <c r="A24" s="104" t="s">
        <v>156</v>
      </c>
      <c r="B24" s="31"/>
      <c r="C24" s="54"/>
      <c r="D24" s="32"/>
      <c r="E24" s="32"/>
      <c r="F24" s="32"/>
      <c r="G24" s="32"/>
      <c r="H24" s="32"/>
    </row>
    <row r="25" spans="1:8" ht="20.100000000000001" customHeight="1">
      <c r="A25" s="105">
        <v>16</v>
      </c>
      <c r="B25" s="37" t="str">
        <f>IF('(4) A9 - Test Report Sheet'!B34="","",IF('(4) A9 - Test Report Sheet'!$S$8="ICE",ROUND('(4) A9 - Test Report Sheet'!I34/'(4) A9 - Test Report Sheet'!J34*1000,2),IF(LEFT('(4) A9 - Test Report Sheet'!$S$8,2)="EV",30,IF(OR('(4) A9 - Test Report Sheet'!J34=0,'(4) A9 - Test Report Sheet'!J34=""),IF('(4) A9 - Test Report Sheet'!P34&lt;=0.3,30,20),ROUND('(4) A9 - Test Report Sheet'!I34/'(4) A9 - Test Report Sheet'!J34*1000,2)))))</f>
        <v/>
      </c>
      <c r="C25" s="37" t="str">
        <f>IF('(4) A9 - Test Report Sheet'!B34="","",ROUND('(3) Annex 9 - Setup Data'!$B$42/B25*'(3) Annex 9 - Setup Data'!$B$34,2))</f>
        <v/>
      </c>
      <c r="D25" s="89" t="str">
        <f>IF('(4) A9 - Test Report Sheet'!B34="","",MIN(100,MAX(0,'(4) A9 - Test Report Sheet'!P34/C25)*100))</f>
        <v/>
      </c>
      <c r="E25" s="89" t="str">
        <f>IF('(4) A9 - Test Report Sheet'!B34="","",IF('(4) A9 - Test Report Sheet'!$S$8="ICE",ROUND('(4) A9 - Test Report Sheet'!J34,0),ROUND('(4) A9 - Test Report Sheet'!I34/B25*1000,2)))</f>
        <v/>
      </c>
      <c r="F25" s="38" t="str">
        <f>IF('(4) A9 - Test Report Sheet'!B34="","",IF(AND('(4) A9 - Test Report Sheet'!$Z$8="Y",'(4) A9 - Test Report Sheet'!I34&lt;'(4) A9 - Test Report Sheet'!$C$5),('(4) A9 - Test Report Sheet'!$Z$9-58)*(1-('(4) A9 - Test Report Sheet'!I34/'(4) A9 - Test Report Sheet'!$C$5)^0.75),0))</f>
        <v/>
      </c>
      <c r="G25" s="38" t="str">
        <f>IF('(4) A9 - Test Report Sheet'!B34="","",IF('(4) A9 - Test Report Sheet'!R34&lt;='(4) A9 - Test Report Sheet'!$S$4,0,MIN(10,'(4) A9 - Test Report Sheet'!$S$5*LOG('(4) A9 - Test Report Sheet'!R34/'(4) A9 - Test Report Sheet'!$S$4))))</f>
        <v/>
      </c>
      <c r="H25" s="38" t="str">
        <f>IF('(4) A9 - Test Report Sheet'!B34="","",('(4) A9 - Test Report Sheet'!$M$5+G25)*(1-'(4) A9 - Test Report Sheet'!$Z$4/(D25/100+'(4) A9 - Test Report Sheet'!$Z$5))/(1-'(4) A9 - Test Report Sheet'!$Z$4/(1+'(4) A9 - Test Report Sheet'!$Z$5))+0.3)</f>
        <v/>
      </c>
    </row>
    <row r="26" spans="1:8" ht="20.100000000000001" customHeight="1">
      <c r="A26" s="105">
        <v>17</v>
      </c>
      <c r="B26" s="37" t="str">
        <f>IF('(4) A9 - Test Report Sheet'!B35="","",IF('(4) A9 - Test Report Sheet'!$S$8="ICE",ROUND('(4) A9 - Test Report Sheet'!I35/'(4) A9 - Test Report Sheet'!J35*1000,2),IF(LEFT('(4) A9 - Test Report Sheet'!$S$8,2)="EV",30,IF(OR('(4) A9 - Test Report Sheet'!J35=0,'(4) A9 - Test Report Sheet'!J35=""),IF('(4) A9 - Test Report Sheet'!P35&lt;=0.3,30,20),ROUND('(4) A9 - Test Report Sheet'!I35/'(4) A9 - Test Report Sheet'!J35*1000,2)))))</f>
        <v/>
      </c>
      <c r="C26" s="37" t="str">
        <f>IF('(4) A9 - Test Report Sheet'!B35="","",ROUND('(3) Annex 9 - Setup Data'!$B$42/B26*'(3) Annex 9 - Setup Data'!$B$34,2))</f>
        <v/>
      </c>
      <c r="D26" s="89" t="str">
        <f>IF('(4) A9 - Test Report Sheet'!B35="","",MIN(100,MAX(0,'(4) A9 - Test Report Sheet'!P35/C26)*100))</f>
        <v/>
      </c>
      <c r="E26" s="89" t="str">
        <f>IF('(4) A9 - Test Report Sheet'!B35="","",IF('(4) A9 - Test Report Sheet'!$S$8="ICE",ROUND('(4) A9 - Test Report Sheet'!J35,0),ROUND('(4) A9 - Test Report Sheet'!I35/B26*1000,2)))</f>
        <v/>
      </c>
      <c r="F26" s="38" t="str">
        <f>IF('(4) A9 - Test Report Sheet'!B35="","",IF(AND('(4) A9 - Test Report Sheet'!$Z$8="Y",'(4) A9 - Test Report Sheet'!I35&lt;'(4) A9 - Test Report Sheet'!$C$5),('(4) A9 - Test Report Sheet'!$Z$9-58)*(1-('(4) A9 - Test Report Sheet'!I35/'(4) A9 - Test Report Sheet'!$C$5)^0.75),0))</f>
        <v/>
      </c>
      <c r="G26" s="38" t="str">
        <f>IF('(4) A9 - Test Report Sheet'!B35="","",IF('(4) A9 - Test Report Sheet'!R35&lt;='(4) A9 - Test Report Sheet'!$S$4,0,MIN(10,'(4) A9 - Test Report Sheet'!$S$5*LOG('(4) A9 - Test Report Sheet'!R35/'(4) A9 - Test Report Sheet'!$S$4))))</f>
        <v/>
      </c>
      <c r="H26" s="38" t="str">
        <f>IF('(4) A9 - Test Report Sheet'!B35="","",('(4) A9 - Test Report Sheet'!$M$5+G26)*(1-'(4) A9 - Test Report Sheet'!$Z$4/(D26/100+'(4) A9 - Test Report Sheet'!$Z$5))/(1-'(4) A9 - Test Report Sheet'!$Z$4/(1+'(4) A9 - Test Report Sheet'!$Z$5))+0.3)</f>
        <v/>
      </c>
    </row>
    <row r="27" spans="1:8" ht="20.100000000000001" customHeight="1">
      <c r="A27" s="105">
        <v>18</v>
      </c>
      <c r="B27" s="37" t="str">
        <f>IF('(4) A9 - Test Report Sheet'!B36="","",IF('(4) A9 - Test Report Sheet'!$S$8="ICE",ROUND('(4) A9 - Test Report Sheet'!I36/'(4) A9 - Test Report Sheet'!J36*1000,2),IF(LEFT('(4) A9 - Test Report Sheet'!$S$8,2)="EV",30,IF(OR('(4) A9 - Test Report Sheet'!J36=0,'(4) A9 - Test Report Sheet'!J36=""),IF('(4) A9 - Test Report Sheet'!P36&lt;=0.3,30,20),ROUND('(4) A9 - Test Report Sheet'!I36/'(4) A9 - Test Report Sheet'!J36*1000,2)))))</f>
        <v/>
      </c>
      <c r="C27" s="37" t="str">
        <f>IF('(4) A9 - Test Report Sheet'!B36="","",ROUND('(3) Annex 9 - Setup Data'!$B$42/B27*'(3) Annex 9 - Setup Data'!$B$34,2))</f>
        <v/>
      </c>
      <c r="D27" s="89" t="str">
        <f>IF('(4) A9 - Test Report Sheet'!B36="","",MIN(100,MAX(0,'(4) A9 - Test Report Sheet'!P36/C27)*100))</f>
        <v/>
      </c>
      <c r="E27" s="89" t="str">
        <f>IF('(4) A9 - Test Report Sheet'!B36="","",IF('(4) A9 - Test Report Sheet'!$S$8="ICE",ROUND('(4) A9 - Test Report Sheet'!J36,0),ROUND('(4) A9 - Test Report Sheet'!I36/B27*1000,2)))</f>
        <v/>
      </c>
      <c r="F27" s="38" t="str">
        <f>IF('(4) A9 - Test Report Sheet'!B36="","",IF(AND('(4) A9 - Test Report Sheet'!$Z$8="Y",'(4) A9 - Test Report Sheet'!I36&lt;'(4) A9 - Test Report Sheet'!$C$5),('(4) A9 - Test Report Sheet'!$Z$9-58)*(1-('(4) A9 - Test Report Sheet'!I36/'(4) A9 - Test Report Sheet'!$C$5)^0.75),0))</f>
        <v/>
      </c>
      <c r="G27" s="38" t="str">
        <f>IF('(4) A9 - Test Report Sheet'!B36="","",IF('(4) A9 - Test Report Sheet'!R36&lt;='(4) A9 - Test Report Sheet'!$S$4,0,MIN(10,'(4) A9 - Test Report Sheet'!$S$5*LOG('(4) A9 - Test Report Sheet'!R36/'(4) A9 - Test Report Sheet'!$S$4))))</f>
        <v/>
      </c>
      <c r="H27" s="38" t="str">
        <f>IF('(4) A9 - Test Report Sheet'!B36="","",('(4) A9 - Test Report Sheet'!$M$5+G27)*(1-'(4) A9 - Test Report Sheet'!$Z$4/(D27/100+'(4) A9 - Test Report Sheet'!$Z$5))/(1-'(4) A9 - Test Report Sheet'!$Z$4/(1+'(4) A9 - Test Report Sheet'!$Z$5))+0.3)</f>
        <v/>
      </c>
    </row>
    <row r="28" spans="1:8" ht="20.100000000000001" customHeight="1">
      <c r="A28" s="105">
        <v>19</v>
      </c>
      <c r="B28" s="37" t="str">
        <f>IF('(4) A9 - Test Report Sheet'!B37="","",IF('(4) A9 - Test Report Sheet'!$S$8="ICE",ROUND('(4) A9 - Test Report Sheet'!I37/'(4) A9 - Test Report Sheet'!J37*1000,2),IF(LEFT('(4) A9 - Test Report Sheet'!$S$8,2)="EV",30,IF(OR('(4) A9 - Test Report Sheet'!J37=0,'(4) A9 - Test Report Sheet'!J37=""),IF('(4) A9 - Test Report Sheet'!P37&lt;=0.3,30,20),ROUND('(4) A9 - Test Report Sheet'!I37/'(4) A9 - Test Report Sheet'!J37*1000,2)))))</f>
        <v/>
      </c>
      <c r="C28" s="37" t="str">
        <f>IF('(4) A9 - Test Report Sheet'!B37="","",ROUND('(3) Annex 9 - Setup Data'!$B$42/B28*'(3) Annex 9 - Setup Data'!$B$34,2))</f>
        <v/>
      </c>
      <c r="D28" s="89" t="str">
        <f>IF('(4) A9 - Test Report Sheet'!B37="","",MIN(100,MAX(0,'(4) A9 - Test Report Sheet'!P37/C28)*100))</f>
        <v/>
      </c>
      <c r="E28" s="89" t="str">
        <f>IF('(4) A9 - Test Report Sheet'!B37="","",IF('(4) A9 - Test Report Sheet'!$S$8="ICE",ROUND('(4) A9 - Test Report Sheet'!J37,0),ROUND('(4) A9 - Test Report Sheet'!I37/B28*1000,2)))</f>
        <v/>
      </c>
      <c r="F28" s="38" t="str">
        <f>IF('(4) A9 - Test Report Sheet'!B37="","",IF(AND('(4) A9 - Test Report Sheet'!$Z$8="Y",'(4) A9 - Test Report Sheet'!I37&lt;'(4) A9 - Test Report Sheet'!$C$5),('(4) A9 - Test Report Sheet'!$Z$9-58)*(1-('(4) A9 - Test Report Sheet'!I37/'(4) A9 - Test Report Sheet'!$C$5)^0.75),0))</f>
        <v/>
      </c>
      <c r="G28" s="38" t="str">
        <f>IF('(4) A9 - Test Report Sheet'!B37="","",IF('(4) A9 - Test Report Sheet'!R37&lt;='(4) A9 - Test Report Sheet'!$S$4,0,MIN(10,'(4) A9 - Test Report Sheet'!$S$5*LOG('(4) A9 - Test Report Sheet'!R37/'(4) A9 - Test Report Sheet'!$S$4))))</f>
        <v/>
      </c>
      <c r="H28" s="38" t="str">
        <f>IF('(4) A9 - Test Report Sheet'!B37="","",('(4) A9 - Test Report Sheet'!$M$5+G28)*(1-'(4) A9 - Test Report Sheet'!$Z$4/(D28/100+'(4) A9 - Test Report Sheet'!$Z$5))/(1-'(4) A9 - Test Report Sheet'!$Z$4/(1+'(4) A9 - Test Report Sheet'!$Z$5))+0.3)</f>
        <v/>
      </c>
    </row>
    <row r="29" spans="1:8" ht="20.100000000000001" customHeight="1">
      <c r="A29" s="105">
        <v>20</v>
      </c>
      <c r="B29" s="37" t="str">
        <f>IF('(4) A9 - Test Report Sheet'!B38="","",IF('(4) A9 - Test Report Sheet'!$S$8="ICE",ROUND('(4) A9 - Test Report Sheet'!I38/'(4) A9 - Test Report Sheet'!J38*1000,2),IF(LEFT('(4) A9 - Test Report Sheet'!$S$8,2)="EV",30,IF(OR('(4) A9 - Test Report Sheet'!J38=0,'(4) A9 - Test Report Sheet'!J38=""),IF('(4) A9 - Test Report Sheet'!P38&lt;=0.3,30,20),ROUND('(4) A9 - Test Report Sheet'!I38/'(4) A9 - Test Report Sheet'!J38*1000,2)))))</f>
        <v/>
      </c>
      <c r="C29" s="37" t="str">
        <f>IF('(4) A9 - Test Report Sheet'!B38="","",ROUND('(3) Annex 9 - Setup Data'!$B$42/B29*'(3) Annex 9 - Setup Data'!$B$34,2))</f>
        <v/>
      </c>
      <c r="D29" s="89" t="str">
        <f>IF('(4) A9 - Test Report Sheet'!B38="","",MIN(100,MAX(0,'(4) A9 - Test Report Sheet'!P38/C29)*100))</f>
        <v/>
      </c>
      <c r="E29" s="89" t="str">
        <f>IF('(4) A9 - Test Report Sheet'!B38="","",IF('(4) A9 - Test Report Sheet'!$S$8="ICE",ROUND('(4) A9 - Test Report Sheet'!J38,0),ROUND('(4) A9 - Test Report Sheet'!I38/B29*1000,2)))</f>
        <v/>
      </c>
      <c r="F29" s="38" t="str">
        <f>IF('(4) A9 - Test Report Sheet'!B38="","",IF(AND('(4) A9 - Test Report Sheet'!$Z$8="Y",'(4) A9 - Test Report Sheet'!I38&lt;'(4) A9 - Test Report Sheet'!$C$5),('(4) A9 - Test Report Sheet'!$Z$9-58)*(1-('(4) A9 - Test Report Sheet'!I38/'(4) A9 - Test Report Sheet'!$C$5)^0.75),0))</f>
        <v/>
      </c>
      <c r="G29" s="38" t="str">
        <f>IF('(4) A9 - Test Report Sheet'!B38="","",IF('(4) A9 - Test Report Sheet'!R38&lt;='(4) A9 - Test Report Sheet'!$S$4,0,MIN(10,'(4) A9 - Test Report Sheet'!$S$5*LOG('(4) A9 - Test Report Sheet'!R38/'(4) A9 - Test Report Sheet'!$S$4))))</f>
        <v/>
      </c>
      <c r="H29" s="38" t="str">
        <f>IF('(4) A9 - Test Report Sheet'!B38="","",('(4) A9 - Test Report Sheet'!$M$5+G29)*(1-'(4) A9 - Test Report Sheet'!$Z$4/(D29/100+'(4) A9 - Test Report Sheet'!$Z$5))/(1-'(4) A9 - Test Report Sheet'!$Z$4/(1+'(4) A9 - Test Report Sheet'!$Z$5))+0.3)</f>
        <v/>
      </c>
    </row>
    <row r="30" spans="1:8" ht="20.100000000000001" hidden="1" customHeight="1">
      <c r="A30" s="51"/>
      <c r="B30" s="66"/>
      <c r="C30" s="66"/>
      <c r="D30" s="66"/>
      <c r="E30" s="66"/>
      <c r="F30" s="66"/>
      <c r="G30" s="66"/>
      <c r="H30" s="66"/>
    </row>
  </sheetData>
  <sheetProtection algorithmName="SHA-512" hashValue="SQDE6IGpj0TzXl+RzutkVp7bDJB/iQf9yL6dp0y31038KQoId9VGysISsxrPGe2ESiPb061WtvbTnww0E2dQUw==" saltValue="D98zf0V7WMuLWdhcz7q1wg==" spinCount="100000" sheet="1" objects="1" scenarios="1"/>
  <customSheetViews>
    <customSheetView guid="{C0223898-2DB3-485F-A6E2-8575C6691491}" showPageBreaks="1">
      <selection activeCell="L24" sqref="L24"/>
      <pageMargins left="0.7" right="0.7" top="0.78740157499999996" bottom="0.78740157499999996" header="0.3" footer="0.3"/>
      <pageSetup paperSize="9" orientation="portrait" r:id="rId1"/>
    </customSheetView>
  </customSheetViews>
  <mergeCells count="12">
    <mergeCell ref="A1:H1"/>
    <mergeCell ref="A3:H3"/>
    <mergeCell ref="A4:A7"/>
    <mergeCell ref="B6:B7"/>
    <mergeCell ref="E6:E7"/>
    <mergeCell ref="E4:E5"/>
    <mergeCell ref="D4:D5"/>
    <mergeCell ref="C4:C5"/>
    <mergeCell ref="B4:B5"/>
    <mergeCell ref="H4:H5"/>
    <mergeCell ref="G4:G5"/>
    <mergeCell ref="F4:F5"/>
  </mergeCells>
  <pageMargins left="0.7" right="0.7" top="0.78740157499999996" bottom="0.78740157499999996" header="0.3" footer="0.3"/>
  <pageSetup paperSize="9" scale="87"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C8405-25DE-4147-9CA4-326DF1E0A6B5}">
  <sheetPr>
    <tabColor theme="8" tint="0.79998168889431442"/>
  </sheetPr>
  <dimension ref="A1:I17"/>
  <sheetViews>
    <sheetView zoomScaleNormal="100" workbookViewId="0">
      <selection activeCell="E10" sqref="E10"/>
    </sheetView>
  </sheetViews>
  <sheetFormatPr baseColWidth="10" defaultColWidth="0" defaultRowHeight="15" zeroHeight="1"/>
  <cols>
    <col min="1" max="2" width="40.7109375" customWidth="1"/>
    <col min="3" max="7" width="15.7109375" customWidth="1"/>
    <col min="8" max="9" width="0" hidden="1" customWidth="1"/>
    <col min="10" max="16384" width="11.42578125" hidden="1"/>
  </cols>
  <sheetData>
    <row r="1" spans="1:7" s="1" customFormat="1" ht="35.1" customHeight="1">
      <c r="A1" s="317" t="s">
        <v>167</v>
      </c>
      <c r="B1" s="318"/>
      <c r="C1" s="318"/>
      <c r="D1" s="319"/>
      <c r="E1" s="146" t="s">
        <v>366</v>
      </c>
      <c r="F1" s="146" t="s">
        <v>367</v>
      </c>
      <c r="G1" s="146" t="s">
        <v>368</v>
      </c>
    </row>
    <row r="2" spans="1:7" s="1" customFormat="1" ht="35.1" customHeight="1">
      <c r="A2" s="320" t="s">
        <v>35</v>
      </c>
      <c r="B2" s="320" t="s">
        <v>36</v>
      </c>
      <c r="C2" s="320" t="s">
        <v>37</v>
      </c>
      <c r="D2" s="320" t="s">
        <v>38</v>
      </c>
      <c r="E2" s="17" t="s">
        <v>39</v>
      </c>
      <c r="F2" s="17" t="s">
        <v>40</v>
      </c>
      <c r="G2" s="17" t="s">
        <v>41</v>
      </c>
    </row>
    <row r="3" spans="1:7" s="1" customFormat="1" ht="20.100000000000001" customHeight="1">
      <c r="A3" s="321"/>
      <c r="B3" s="321"/>
      <c r="C3" s="321"/>
      <c r="D3" s="321"/>
      <c r="E3" s="18">
        <v>1</v>
      </c>
      <c r="F3" s="18">
        <v>2</v>
      </c>
      <c r="G3" s="18">
        <v>3</v>
      </c>
    </row>
    <row r="4" spans="1:7" s="1" customFormat="1" ht="35.1" customHeight="1">
      <c r="A4" s="316" t="s">
        <v>365</v>
      </c>
      <c r="B4" s="11" t="s">
        <v>104</v>
      </c>
      <c r="C4" s="143" t="s">
        <v>351</v>
      </c>
      <c r="D4" s="10" t="s">
        <v>1</v>
      </c>
      <c r="E4" s="16"/>
      <c r="F4" s="16"/>
      <c r="G4" s="16"/>
    </row>
    <row r="5" spans="1:7" s="1" customFormat="1" ht="35.1" customHeight="1">
      <c r="A5" s="316"/>
      <c r="B5" s="11" t="s">
        <v>105</v>
      </c>
      <c r="C5" s="143" t="s">
        <v>42</v>
      </c>
      <c r="D5" s="10" t="s">
        <v>24</v>
      </c>
      <c r="E5" s="16">
        <v>90</v>
      </c>
      <c r="F5" s="16">
        <v>95</v>
      </c>
      <c r="G5" s="16">
        <v>90</v>
      </c>
    </row>
    <row r="6" spans="1:7" s="1" customFormat="1" ht="35.1" customHeight="1">
      <c r="A6" s="316"/>
      <c r="B6" s="11" t="s">
        <v>95</v>
      </c>
      <c r="C6" s="144" t="s">
        <v>352</v>
      </c>
      <c r="D6" s="10" t="s">
        <v>43</v>
      </c>
      <c r="E6" s="16">
        <v>20</v>
      </c>
      <c r="F6" s="16">
        <v>20</v>
      </c>
      <c r="G6" s="16">
        <v>20</v>
      </c>
    </row>
    <row r="7" spans="1:7" s="1" customFormat="1" ht="35.1" customHeight="1">
      <c r="A7" s="316"/>
      <c r="B7" s="11" t="s">
        <v>96</v>
      </c>
      <c r="C7" s="144" t="s">
        <v>353</v>
      </c>
      <c r="D7" s="10" t="s">
        <v>43</v>
      </c>
      <c r="E7" s="16">
        <v>40</v>
      </c>
      <c r="F7" s="16">
        <v>40</v>
      </c>
      <c r="G7" s="16">
        <v>40</v>
      </c>
    </row>
    <row r="8" spans="1:7" s="1" customFormat="1" ht="35.1" customHeight="1">
      <c r="A8" s="313" t="s">
        <v>364</v>
      </c>
      <c r="B8" s="11" t="s">
        <v>97</v>
      </c>
      <c r="C8" s="144" t="s">
        <v>354</v>
      </c>
      <c r="D8" s="10" t="s">
        <v>43</v>
      </c>
      <c r="E8" s="16">
        <v>60</v>
      </c>
      <c r="F8" s="16">
        <v>60</v>
      </c>
      <c r="G8" s="16">
        <v>60</v>
      </c>
    </row>
    <row r="9" spans="1:7" s="1" customFormat="1" ht="35.1" customHeight="1">
      <c r="A9" s="314"/>
      <c r="B9" s="11" t="s">
        <v>98</v>
      </c>
      <c r="C9" s="144" t="s">
        <v>355</v>
      </c>
      <c r="D9" s="10" t="s">
        <v>43</v>
      </c>
      <c r="E9" s="16">
        <v>115</v>
      </c>
      <c r="F9" s="16">
        <v>85</v>
      </c>
      <c r="G9" s="16">
        <v>115</v>
      </c>
    </row>
    <row r="10" spans="1:7" s="1" customFormat="1" ht="35.1" customHeight="1">
      <c r="A10" s="315"/>
      <c r="B10" s="11" t="s">
        <v>107</v>
      </c>
      <c r="C10" s="143" t="s">
        <v>356</v>
      </c>
      <c r="D10" s="10" t="s">
        <v>44</v>
      </c>
      <c r="E10" s="16">
        <v>5000</v>
      </c>
      <c r="F10" s="16">
        <v>5000</v>
      </c>
      <c r="G10" s="16">
        <v>5000</v>
      </c>
    </row>
    <row r="11" spans="1:7" s="1" customFormat="1" ht="35.1" customHeight="1">
      <c r="A11" s="313" t="s">
        <v>362</v>
      </c>
      <c r="B11" s="11" t="s">
        <v>99</v>
      </c>
      <c r="C11" s="144" t="s">
        <v>357</v>
      </c>
      <c r="D11" s="10" t="s">
        <v>43</v>
      </c>
      <c r="E11" s="16">
        <v>50</v>
      </c>
      <c r="F11" s="16">
        <v>50</v>
      </c>
      <c r="G11" s="16">
        <v>50</v>
      </c>
    </row>
    <row r="12" spans="1:7" s="1" customFormat="1" ht="35.1" customHeight="1">
      <c r="A12" s="314"/>
      <c r="B12" s="11" t="s">
        <v>100</v>
      </c>
      <c r="C12" s="144" t="s">
        <v>358</v>
      </c>
      <c r="D12" s="10" t="s">
        <v>43</v>
      </c>
      <c r="E12" s="16">
        <v>105</v>
      </c>
      <c r="F12" s="16">
        <v>75</v>
      </c>
      <c r="G12" s="16">
        <v>105</v>
      </c>
    </row>
    <row r="13" spans="1:7" s="1" customFormat="1" ht="35.1" customHeight="1">
      <c r="A13" s="315"/>
      <c r="B13" s="11" t="s">
        <v>106</v>
      </c>
      <c r="C13" s="143" t="s">
        <v>359</v>
      </c>
      <c r="D13" s="10" t="s">
        <v>44</v>
      </c>
      <c r="E13" s="16">
        <v>5000</v>
      </c>
      <c r="F13" s="16">
        <v>5000</v>
      </c>
      <c r="G13" s="16">
        <v>5000</v>
      </c>
    </row>
    <row r="14" spans="1:7" s="1" customFormat="1" ht="35.1" customHeight="1">
      <c r="A14" s="313" t="s">
        <v>363</v>
      </c>
      <c r="B14" s="11" t="s">
        <v>101</v>
      </c>
      <c r="C14" s="145" t="s">
        <v>45</v>
      </c>
      <c r="D14" s="10" t="s">
        <v>4</v>
      </c>
      <c r="E14" s="16">
        <v>8</v>
      </c>
      <c r="F14" s="16">
        <v>8</v>
      </c>
      <c r="G14" s="16">
        <v>8</v>
      </c>
    </row>
    <row r="15" spans="1:7" s="1" customFormat="1" ht="35.1" customHeight="1">
      <c r="A15" s="314"/>
      <c r="B15" s="11" t="s">
        <v>102</v>
      </c>
      <c r="C15" s="144" t="s">
        <v>360</v>
      </c>
      <c r="D15" s="10" t="s">
        <v>34</v>
      </c>
      <c r="E15" s="16">
        <v>0.17</v>
      </c>
      <c r="F15" s="16">
        <v>0.17</v>
      </c>
      <c r="G15" s="16">
        <v>0.17</v>
      </c>
    </row>
    <row r="16" spans="1:7" s="1" customFormat="1" ht="35.1" customHeight="1">
      <c r="A16" s="314"/>
      <c r="B16" s="11" t="s">
        <v>103</v>
      </c>
      <c r="C16" s="144" t="s">
        <v>361</v>
      </c>
      <c r="D16" s="10" t="s">
        <v>34</v>
      </c>
      <c r="E16" s="16">
        <v>0.4</v>
      </c>
      <c r="F16" s="16">
        <v>0.4</v>
      </c>
      <c r="G16" s="16">
        <v>0.4</v>
      </c>
    </row>
    <row r="17" spans="1:7" hidden="1">
      <c r="A17" s="49"/>
      <c r="B17" s="49"/>
      <c r="C17" s="49"/>
      <c r="D17" s="49"/>
      <c r="E17" s="49"/>
      <c r="F17" s="49"/>
      <c r="G17" s="49"/>
    </row>
  </sheetData>
  <sheetProtection algorithmName="SHA-512" hashValue="nAQJzvGc5pVKsqqzsL7PS7HlsBMJtdpr9AZ1hEf7G3ytQKsHiyi/fNVkr/hnTwRyuSRhiRPPm26EXaP5bnJ8Eg==" saltValue="JBNby/pTyjnDkSaW7caDUg==" spinCount="100000" sheet="1" objects="1" scenarios="1"/>
  <customSheetViews>
    <customSheetView guid="{C0223898-2DB3-485F-A6E2-8575C6691491}" scale="60" showPageBreaks="1" printArea="1" view="pageBreakPreview">
      <selection activeCell="K8" sqref="K8"/>
      <pageMargins left="0.7" right="0.7" top="0.78740157499999996" bottom="0.78740157499999996" header="0.3" footer="0.3"/>
      <pageSetup paperSize="9" scale="54" orientation="portrait" r:id="rId1"/>
    </customSheetView>
  </customSheetViews>
  <mergeCells count="9">
    <mergeCell ref="A8:A10"/>
    <mergeCell ref="A4:A7"/>
    <mergeCell ref="A14:A16"/>
    <mergeCell ref="A11:A13"/>
    <mergeCell ref="A1:D1"/>
    <mergeCell ref="D2:D3"/>
    <mergeCell ref="C2:C3"/>
    <mergeCell ref="B2:B3"/>
    <mergeCell ref="A2:A3"/>
  </mergeCells>
  <pageMargins left="0.7" right="0.7" top="0.78740157499999996" bottom="0.78740157499999996" header="0.3" footer="0.3"/>
  <pageSetup paperSize="9" scale="54"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B8422D08C252547BB1CFA7F78E2CB83" ma:contentTypeVersion="18" ma:contentTypeDescription="Create a new document." ma:contentTypeScope="" ma:versionID="e62f3c52afbfb087cbf0486b24bccade">
  <xsd:schema xmlns:xsd="http://www.w3.org/2001/XMLSchema" xmlns:xs="http://www.w3.org/2001/XMLSchema" xmlns:p="http://schemas.microsoft.com/office/2006/metadata/properties" xmlns:ns2="4b4a1c0d-4a69-4996-a84a-fc699b9f49de" xmlns:ns3="acccb6d4-dbe5-46d2-b4d3-5733603d8cc6" xmlns:ns4="985ec44e-1bab-4c0b-9df0-6ba128686fc9" targetNamespace="http://schemas.microsoft.com/office/2006/metadata/properties" ma:root="true" ma:fieldsID="0897c4342d1b21160e8184e77b1557a4" ns2:_="" ns3:_="" ns4:_="">
    <xsd:import namespace="4b4a1c0d-4a69-4996-a84a-fc699b9f49de"/>
    <xsd:import namespace="acccb6d4-dbe5-46d2-b4d3-5733603d8cc6"/>
    <xsd:import namespace="985ec44e-1bab-4c0b-9df0-6ba128686fc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4a1c0d-4a69-4996-a84a-fc699b9f49d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cccb6d4-dbe5-46d2-b4d3-5733603d8cc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02cb41a6-c265-4598-b948-df01c7e084ec}" ma:internalName="TaxCatchAll" ma:showField="CatchAllData" ma:web="4b4a1c0d-4a69-4996-a84a-fc699b9f49d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3840A9-95D1-4CC5-812C-7F7083D66308}"/>
</file>

<file path=customXml/itemProps2.xml><?xml version="1.0" encoding="utf-8"?>
<ds:datastoreItem xmlns:ds="http://schemas.openxmlformats.org/officeDocument/2006/customXml" ds:itemID="{8368132A-495E-4FBC-86BF-1D1655AA864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7</vt:i4>
      </vt:variant>
    </vt:vector>
  </HeadingPairs>
  <TitlesOfParts>
    <vt:vector size="17" baseType="lpstr">
      <vt:lpstr>(0) Instructions</vt:lpstr>
      <vt:lpstr>(0) Data Tracking</vt:lpstr>
      <vt:lpstr>(1) Vehicle Data</vt:lpstr>
      <vt:lpstr>(2) Annex 3 - Data</vt:lpstr>
      <vt:lpstr>(3) Annex 9 - Setup Data</vt:lpstr>
      <vt:lpstr>(3a) A9 - Tyre Rolling Sound</vt:lpstr>
      <vt:lpstr>(4) A9 - Test Report Sheet</vt:lpstr>
      <vt:lpstr>(4a) A9 - SUB Calculation</vt:lpstr>
      <vt:lpstr>(4b) A9 - Parameter Table</vt:lpstr>
      <vt:lpstr>(5) Questionnaire</vt:lpstr>
      <vt:lpstr>'(0) Data Tracking'!Druckbereich</vt:lpstr>
      <vt:lpstr>'(1) Vehicle Data'!Druckbereich</vt:lpstr>
      <vt:lpstr>'(2) Annex 3 - Data'!Druckbereich</vt:lpstr>
      <vt:lpstr>'(3a) A9 - Tyre Rolling Sound'!Druckbereich</vt:lpstr>
      <vt:lpstr>'(4) A9 - Test Report Sheet'!Druckbereich</vt:lpstr>
      <vt:lpstr>'(4a) A9 - SUB Calculation'!Druckbereich</vt:lpstr>
      <vt:lpstr>'(4b) A9 - Parameter Table'!Druckbereich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2018-11-07T05:34:30Z</dcterms:created>
  <dcterms:modified xsi:type="dcterms:W3CDTF">2023-11-16T13:18:45Z</dcterms:modified>
</cp:coreProperties>
</file>