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TD2/Shared Documents/Section VRTIS/WP29/GRSP sessions/2022-05-09 71st GRSP/Informal documents/"/>
    </mc:Choice>
  </mc:AlternateContent>
  <xr:revisionPtr revIDLastSave="0" documentId="8_{FF098225-7719-40C6-BE9A-0F3C64FC96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ture height calculation" sheetId="2" r:id="rId1"/>
    <sheet name="backup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J28" i="1" l="1"/>
  <c r="J26" i="1"/>
  <c r="J27" i="1" s="1"/>
  <c r="J24" i="1"/>
  <c r="N26" i="1" l="1"/>
  <c r="O26" i="1" s="1"/>
  <c r="L26" i="1"/>
  <c r="L27" i="1"/>
  <c r="J25" i="1"/>
  <c r="J29" i="1"/>
  <c r="L29" i="1" s="1"/>
  <c r="J22" i="1"/>
  <c r="J20" i="1"/>
  <c r="S10" i="1"/>
  <c r="S9" i="1"/>
  <c r="S8" i="1"/>
  <c r="S7" i="1"/>
  <c r="R10" i="1"/>
  <c r="R9" i="1"/>
  <c r="R8" i="1"/>
  <c r="R7" i="1"/>
  <c r="R6" i="1"/>
  <c r="S6" i="1" s="1"/>
  <c r="R5" i="1"/>
  <c r="S5" i="1" s="1"/>
  <c r="L25" i="1" l="1"/>
  <c r="R20" i="1"/>
  <c r="N22" i="1"/>
  <c r="O22" i="1" s="1"/>
  <c r="L28" i="1"/>
  <c r="N28" i="1"/>
  <c r="O28" i="1" s="1"/>
  <c r="L24" i="1"/>
  <c r="N24" i="1"/>
  <c r="O24" i="1" s="1"/>
  <c r="J23" i="1"/>
  <c r="L22" i="1" s="1"/>
  <c r="J21" i="1"/>
  <c r="L21" i="1" s="1"/>
  <c r="R4" i="1"/>
  <c r="S4" i="1" s="1"/>
  <c r="L20" i="1" l="1"/>
  <c r="L23" i="1"/>
  <c r="N20" i="1"/>
  <c r="O20" i="1" s="1"/>
  <c r="S20" i="1"/>
  <c r="C4" i="2"/>
  <c r="D4" i="2" s="1"/>
</calcChain>
</file>

<file path=xl/sharedStrings.xml><?xml version="1.0" encoding="utf-8"?>
<sst xmlns="http://schemas.openxmlformats.org/spreadsheetml/2006/main" count="47" uniqueCount="23">
  <si>
    <t>Minimum sitting height 50th percentile</t>
  </si>
  <si>
    <t>[cm]</t>
  </si>
  <si>
    <t>stature</t>
  </si>
  <si>
    <t>sitting height</t>
  </si>
  <si>
    <t>smallest stature allowed</t>
  </si>
  <si>
    <t>rounded to next higher integer</t>
  </si>
  <si>
    <t>a=</t>
  </si>
  <si>
    <t>b=</t>
  </si>
  <si>
    <t>a1=</t>
  </si>
  <si>
    <t>b1=</t>
  </si>
  <si>
    <t>a2=</t>
  </si>
  <si>
    <t>b2=</t>
  </si>
  <si>
    <t>b3=</t>
  </si>
  <si>
    <t>a3=</t>
  </si>
  <si>
    <t>b4=</t>
  </si>
  <si>
    <t>b5=</t>
  </si>
  <si>
    <t>stature range</t>
  </si>
  <si>
    <t>y=ax+b</t>
  </si>
  <si>
    <t>a and b values</t>
  </si>
  <si>
    <t>interpolated sitting height (ruler value)</t>
  </si>
  <si>
    <t>correct procedure - interpolation over each segment</t>
  </si>
  <si>
    <t>linear regression from all points (incorrect)</t>
  </si>
  <si>
    <t>UN Regulation 129.03 § 6.1.3.6. 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</si>
</sst>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Sitting</a:t>
            </a:r>
            <a:r>
              <a:rPr lang="nl-NL" baseline="0"/>
              <a:t> Height versus Stature</a:t>
            </a:r>
          </a:p>
          <a:p>
            <a:pPr>
              <a:defRPr/>
            </a:pPr>
            <a:r>
              <a:rPr lang="nl-NL" sz="1100" baseline="0"/>
              <a:t>(calculation using linear regression from all points)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634259259259263"/>
          <c:w val="0.87753018372703417"/>
          <c:h val="0.4656776757072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backup!$C$2:$C$3</c:f>
              <c:strCache>
                <c:ptCount val="2"/>
                <c:pt idx="0">
                  <c:v>Minimum sitting height 50th percentile</c:v>
                </c:pt>
                <c:pt idx="1">
                  <c:v>[cm]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backup!$B$4:$B$9</c:f>
              <c:numCache>
                <c:formatCode>General</c:formatCode>
                <c:ptCount val="6"/>
                <c:pt idx="0">
                  <c:v>66.2</c:v>
                </c:pt>
                <c:pt idx="1">
                  <c:v>67.900000000000006</c:v>
                </c:pt>
                <c:pt idx="2">
                  <c:v>69.7</c:v>
                </c:pt>
                <c:pt idx="3">
                  <c:v>71.599999999999994</c:v>
                </c:pt>
                <c:pt idx="4">
                  <c:v>73.599999999999994</c:v>
                </c:pt>
                <c:pt idx="5">
                  <c:v>75.900000000000006</c:v>
                </c:pt>
              </c:numCache>
            </c:numRef>
          </c:xVal>
          <c:yVal>
            <c:numRef>
              <c:f>backup!$C$4:$C$9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B-4A40-92FB-CCA511C850A0}"/>
            </c:ext>
          </c:extLst>
        </c:ser>
        <c:ser>
          <c:idx val="1"/>
          <c:order val="1"/>
          <c:tx>
            <c:strRef>
              <c:f>backup!$D$2:$D$3</c:f>
              <c:strCache>
                <c:ptCount val="2"/>
                <c:pt idx="0">
                  <c:v>stature</c:v>
                </c:pt>
                <c:pt idx="1">
                  <c:v>[cm]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4353975976102964E-2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backup!$B$4:$B$9</c:f>
              <c:numCache>
                <c:formatCode>General</c:formatCode>
                <c:ptCount val="6"/>
                <c:pt idx="0">
                  <c:v>66.2</c:v>
                </c:pt>
                <c:pt idx="1">
                  <c:v>67.900000000000006</c:v>
                </c:pt>
                <c:pt idx="2">
                  <c:v>69.7</c:v>
                </c:pt>
                <c:pt idx="3">
                  <c:v>71.599999999999994</c:v>
                </c:pt>
                <c:pt idx="4">
                  <c:v>73.599999999999994</c:v>
                </c:pt>
                <c:pt idx="5">
                  <c:v>75.900000000000006</c:v>
                </c:pt>
              </c:numCache>
            </c:numRef>
          </c:xVal>
          <c:yVal>
            <c:numRef>
              <c:f>backup!$D$4:$D$9</c:f>
              <c:numCache>
                <c:formatCode>General</c:formatCode>
                <c:ptCount val="6"/>
                <c:pt idx="0">
                  <c:v>125</c:v>
                </c:pt>
                <c:pt idx="1">
                  <c:v>130</c:v>
                </c:pt>
                <c:pt idx="2">
                  <c:v>135</c:v>
                </c:pt>
                <c:pt idx="3">
                  <c:v>140</c:v>
                </c:pt>
                <c:pt idx="4">
                  <c:v>145</c:v>
                </c:pt>
                <c:pt idx="5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B-4A40-92FB-CCA511C8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727320"/>
        <c:axId val="313727976"/>
      </c:scatterChart>
      <c:valAx>
        <c:axId val="31372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27976"/>
        <c:crosses val="autoZero"/>
        <c:crossBetween val="midCat"/>
      </c:valAx>
      <c:valAx>
        <c:axId val="31372797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27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interpolation each segment e.g. 125 - 130 cm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612357830271217"/>
                  <c:y val="-2.76701432057834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backup!$B$4:$B$5</c:f>
              <c:numCache>
                <c:formatCode>General</c:formatCode>
                <c:ptCount val="2"/>
                <c:pt idx="0">
                  <c:v>66.2</c:v>
                </c:pt>
                <c:pt idx="1">
                  <c:v>67.900000000000006</c:v>
                </c:pt>
              </c:numCache>
            </c:numRef>
          </c:xVal>
          <c:yVal>
            <c:numRef>
              <c:f>backup!$D$4:$D$5</c:f>
              <c:numCache>
                <c:formatCode>General</c:formatCode>
                <c:ptCount val="2"/>
                <c:pt idx="0">
                  <c:v>125</c:v>
                </c:pt>
                <c:pt idx="1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71-45B2-B8C2-B7ACD6BE5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467136"/>
        <c:axId val="521467792"/>
      </c:scatterChart>
      <c:valAx>
        <c:axId val="5214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467792"/>
        <c:crosses val="autoZero"/>
        <c:crossBetween val="midCat"/>
      </c:valAx>
      <c:valAx>
        <c:axId val="52146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46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607161</xdr:colOff>
      <xdr:row>0</xdr:row>
      <xdr:rowOff>124357</xdr:rowOff>
    </xdr:from>
    <xdr:to>
      <xdr:col>15</xdr:col>
      <xdr:colOff>29261</xdr:colOff>
      <xdr:row>15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219455</xdr:colOff>
      <xdr:row>16</xdr:row>
      <xdr:rowOff>109728</xdr:rowOff>
    </xdr:from>
    <xdr:to>
      <xdr:col>7</xdr:col>
      <xdr:colOff>285292</xdr:colOff>
      <xdr:row>31</xdr:row>
      <xdr:rowOff>109728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8.85546875" style="30"/>
    <col min="2" max="2" width="14.7109375" style="30" customWidth="1"/>
    <col min="3" max="3" width="16" style="30" bestFit="1" customWidth="1"/>
    <col min="4" max="4" width="14" style="30" customWidth="1"/>
    <col min="5" max="16384" width="8.85546875" style="30"/>
  </cols>
  <sheetData>
    <row r="2" spans="2:4" ht="51.95" customHeight="1" x14ac:dyDescent="0.25">
      <c r="B2" s="26" t="s">
        <v>19</v>
      </c>
      <c r="C2" s="26" t="s">
        <v>4</v>
      </c>
      <c r="D2" s="26" t="s">
        <v>5</v>
      </c>
    </row>
    <row r="3" spans="2:4" x14ac:dyDescent="0.25">
      <c r="B3" s="27" t="s">
        <v>1</v>
      </c>
      <c r="C3" s="27" t="s">
        <v>1</v>
      </c>
      <c r="D3" s="27" t="s">
        <v>1</v>
      </c>
    </row>
    <row r="4" spans="2:4" x14ac:dyDescent="0.25">
      <c r="B4" s="31">
        <v>70.099999999999994</v>
      </c>
      <c r="C4" s="28">
        <f>backup!R20</f>
        <v>136.05263157894734</v>
      </c>
      <c r="D4" s="29">
        <f>ROUNDUP(C4,0)</f>
        <v>137</v>
      </c>
    </row>
  </sheetData>
  <sheetProtection algorithmName="SHA-512" hashValue="iHX30dwKm1X4WjWmXN0Zj4gXmonWLQcTAcNDrpw2vPPA5Nf+gZmX2Kxn2R13uzW138KaeQp+frC3sOV/fjB4Bw==" saltValue="1Mmb4in/c0THYO8NJ0sMFg==" spinCount="100000" sheet="1" objects="1" scenarios="1"/>
  <conditionalFormatting sqref="C4">
    <cfRule type="cellIs" dxfId="0" priority="1" operator="equal">
      <formula>"value outside range"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29"/>
  <sheetViews>
    <sheetView workbookViewId="0">
      <selection activeCell="Q4" sqref="Q4"/>
    </sheetView>
  </sheetViews>
  <sheetFormatPr defaultRowHeight="15" x14ac:dyDescent="0.25"/>
  <cols>
    <col min="12" max="12" width="8.85546875" customWidth="1"/>
    <col min="13" max="13" width="11.5703125" customWidth="1"/>
    <col min="17" max="17" width="10.85546875" bestFit="1" customWidth="1"/>
    <col min="18" max="18" width="9.42578125" bestFit="1" customWidth="1"/>
  </cols>
  <sheetData>
    <row r="1" spans="2:19" x14ac:dyDescent="0.25">
      <c r="B1" s="23" t="s">
        <v>22</v>
      </c>
      <c r="Q1" s="24" t="s">
        <v>21</v>
      </c>
    </row>
    <row r="2" spans="2:19" ht="90" x14ac:dyDescent="0.25">
      <c r="B2" s="2" t="s">
        <v>0</v>
      </c>
      <c r="C2" s="11"/>
      <c r="D2" s="3" t="s">
        <v>2</v>
      </c>
      <c r="Q2" s="3" t="s">
        <v>3</v>
      </c>
      <c r="R2" s="2" t="s">
        <v>4</v>
      </c>
      <c r="S2" s="2" t="s">
        <v>5</v>
      </c>
    </row>
    <row r="3" spans="2:19" x14ac:dyDescent="0.25">
      <c r="B3" s="9" t="s">
        <v>1</v>
      </c>
      <c r="C3" s="12"/>
      <c r="D3" s="10" t="s">
        <v>1</v>
      </c>
      <c r="Q3" s="4" t="s">
        <v>1</v>
      </c>
      <c r="R3" s="4" t="s">
        <v>1</v>
      </c>
      <c r="S3" s="4" t="s">
        <v>1</v>
      </c>
    </row>
    <row r="4" spans="2:19" x14ac:dyDescent="0.25">
      <c r="B4" s="9">
        <v>66.2</v>
      </c>
      <c r="C4" s="13"/>
      <c r="D4" s="17">
        <v>125</v>
      </c>
      <c r="Q4" s="5">
        <v>70.099999999999994</v>
      </c>
      <c r="R4" s="6">
        <f>2.5855*Q4-45.595</f>
        <v>135.64855</v>
      </c>
      <c r="S4" s="18">
        <f>ROUNDUP(R4,0)</f>
        <v>136</v>
      </c>
    </row>
    <row r="5" spans="2:19" x14ac:dyDescent="0.25">
      <c r="B5" s="9">
        <v>67.900000000000006</v>
      </c>
      <c r="C5" s="13"/>
      <c r="D5" s="10">
        <v>130</v>
      </c>
      <c r="Q5" s="4">
        <v>66.2</v>
      </c>
      <c r="R5" s="6">
        <f t="shared" ref="R5:R10" si="0">2.5855*Q5-45.595</f>
        <v>125.56510000000003</v>
      </c>
      <c r="S5" s="8">
        <f t="shared" ref="S5:S10" si="1">ROUNDUP(R5,0)</f>
        <v>126</v>
      </c>
    </row>
    <row r="6" spans="2:19" x14ac:dyDescent="0.25">
      <c r="B6" s="9">
        <v>69.7</v>
      </c>
      <c r="C6" s="13"/>
      <c r="D6" s="10">
        <v>135</v>
      </c>
      <c r="Q6" s="4">
        <v>67.900000000000006</v>
      </c>
      <c r="R6" s="6">
        <f t="shared" si="0"/>
        <v>129.96045000000004</v>
      </c>
      <c r="S6" s="7">
        <f t="shared" si="1"/>
        <v>130</v>
      </c>
    </row>
    <row r="7" spans="2:19" x14ac:dyDescent="0.25">
      <c r="B7" s="9">
        <v>71.599999999999994</v>
      </c>
      <c r="C7" s="13"/>
      <c r="D7" s="10">
        <v>140</v>
      </c>
      <c r="Q7" s="4">
        <v>69.7</v>
      </c>
      <c r="R7" s="6">
        <f t="shared" si="0"/>
        <v>134.61435000000003</v>
      </c>
      <c r="S7" s="7">
        <f t="shared" si="1"/>
        <v>135</v>
      </c>
    </row>
    <row r="8" spans="2:19" x14ac:dyDescent="0.25">
      <c r="B8" s="9">
        <v>73.599999999999994</v>
      </c>
      <c r="C8" s="13"/>
      <c r="D8" s="10">
        <v>145</v>
      </c>
      <c r="Q8" s="4">
        <v>71.599999999999994</v>
      </c>
      <c r="R8" s="6">
        <f t="shared" si="0"/>
        <v>139.52680000000001</v>
      </c>
      <c r="S8" s="7">
        <f t="shared" si="1"/>
        <v>140</v>
      </c>
    </row>
    <row r="9" spans="2:19" x14ac:dyDescent="0.25">
      <c r="B9" s="9">
        <v>75.900000000000006</v>
      </c>
      <c r="C9" s="14"/>
      <c r="D9" s="17">
        <v>150</v>
      </c>
      <c r="Q9" s="4">
        <v>73.599999999999994</v>
      </c>
      <c r="R9" s="6">
        <f t="shared" si="0"/>
        <v>144.6978</v>
      </c>
      <c r="S9" s="7">
        <f t="shared" si="1"/>
        <v>145</v>
      </c>
    </row>
    <row r="10" spans="2:19" x14ac:dyDescent="0.25">
      <c r="Q10" s="4">
        <v>75.900000000000006</v>
      </c>
      <c r="R10" s="6">
        <f t="shared" si="0"/>
        <v>150.64445000000003</v>
      </c>
      <c r="S10" s="8">
        <f t="shared" si="1"/>
        <v>151</v>
      </c>
    </row>
    <row r="11" spans="2:19" x14ac:dyDescent="0.25">
      <c r="R11" s="1"/>
      <c r="S11" s="1"/>
    </row>
    <row r="12" spans="2:19" x14ac:dyDescent="0.25">
      <c r="R12" s="1"/>
      <c r="S12" s="1"/>
    </row>
    <row r="13" spans="2:19" x14ac:dyDescent="0.25">
      <c r="R13" s="1"/>
      <c r="S13" s="1"/>
    </row>
    <row r="14" spans="2:19" x14ac:dyDescent="0.25">
      <c r="R14" s="1"/>
      <c r="S14" s="1"/>
    </row>
    <row r="15" spans="2:19" x14ac:dyDescent="0.25">
      <c r="R15" s="1"/>
      <c r="S15" s="1"/>
    </row>
    <row r="16" spans="2:19" x14ac:dyDescent="0.25">
      <c r="R16" s="1"/>
    </row>
    <row r="17" spans="9:19" x14ac:dyDescent="0.25">
      <c r="I17" s="24" t="s">
        <v>20</v>
      </c>
      <c r="R17" s="1"/>
    </row>
    <row r="18" spans="9:19" ht="90" x14ac:dyDescent="0.25">
      <c r="I18" s="36" t="s">
        <v>17</v>
      </c>
      <c r="J18" s="34" t="s">
        <v>18</v>
      </c>
      <c r="K18" s="20" t="s">
        <v>0</v>
      </c>
      <c r="L18" s="19" t="s">
        <v>16</v>
      </c>
      <c r="M18" s="20" t="s">
        <v>19</v>
      </c>
      <c r="N18" s="20" t="s">
        <v>4</v>
      </c>
      <c r="O18" s="20" t="s">
        <v>5</v>
      </c>
      <c r="Q18" s="20" t="s">
        <v>19</v>
      </c>
      <c r="R18" s="20" t="s">
        <v>4</v>
      </c>
      <c r="S18" s="20" t="s">
        <v>5</v>
      </c>
    </row>
    <row r="19" spans="9:19" x14ac:dyDescent="0.25">
      <c r="I19" s="37"/>
      <c r="J19" s="35"/>
      <c r="K19" s="4" t="s">
        <v>1</v>
      </c>
      <c r="L19" s="10" t="s">
        <v>1</v>
      </c>
      <c r="M19" s="4" t="s">
        <v>1</v>
      </c>
      <c r="N19" s="4" t="s">
        <v>1</v>
      </c>
      <c r="O19" s="4" t="s">
        <v>1</v>
      </c>
      <c r="P19" s="21"/>
      <c r="Q19" s="4" t="s">
        <v>1</v>
      </c>
      <c r="R19" s="4" t="s">
        <v>1</v>
      </c>
      <c r="S19" s="4" t="s">
        <v>1</v>
      </c>
    </row>
    <row r="20" spans="9:19" x14ac:dyDescent="0.25">
      <c r="I20" s="3" t="s">
        <v>6</v>
      </c>
      <c r="J20" s="15">
        <f>-5/(66.2-67.9)</f>
        <v>2.9411764705882302</v>
      </c>
      <c r="K20" s="4">
        <v>66.2</v>
      </c>
      <c r="L20" s="10">
        <f>B4*J$20+J$21</f>
        <v>125</v>
      </c>
      <c r="M20" s="38">
        <v>66.5</v>
      </c>
      <c r="N20" s="39">
        <f>M20*J$20+J$21</f>
        <v>125.88235294117646</v>
      </c>
      <c r="O20" s="32">
        <f>ROUNDUP(N20,0)</f>
        <v>126</v>
      </c>
      <c r="Q20" s="25">
        <f>'stature height calculation'!B4</f>
        <v>70.099999999999994</v>
      </c>
      <c r="R20" s="16">
        <f>IF(AND((Q20&gt;=K20),(Q20&lt;K21)),(Q20*J$20+J$21),IF(AND((Q20&gt;=K22),(Q20&lt;K23)),(Q20*J$22+J$23),IF(AND((Q20&gt;=K24),(Q20&lt;K25)),(Q20*J$24+J$25),IF(AND((Q20&gt;=K26),(Q20&lt;K27)),(Q20*J$26+J$27),IF(AND((Q20&gt;=K28),(Q20&lt;=K29)),(Q20*J$28+J$29),"value outside range")))))</f>
        <v>136.05263157894734</v>
      </c>
      <c r="S20" s="22">
        <f>ROUNDUP(R20,0)</f>
        <v>137</v>
      </c>
    </row>
    <row r="21" spans="9:19" x14ac:dyDescent="0.25">
      <c r="I21" s="3" t="s">
        <v>7</v>
      </c>
      <c r="J21" s="15">
        <f>125-(66.2*J20)</f>
        <v>-69.705882352940847</v>
      </c>
      <c r="K21" s="4">
        <v>67.900000000000006</v>
      </c>
      <c r="L21" s="10">
        <f>B5*J$20+J$21</f>
        <v>130</v>
      </c>
      <c r="M21" s="38"/>
      <c r="N21" s="39"/>
      <c r="O21" s="32"/>
    </row>
    <row r="22" spans="9:19" x14ac:dyDescent="0.25">
      <c r="I22" s="3" t="s">
        <v>8</v>
      </c>
      <c r="J22" s="15">
        <f>-5/(67.9-69.7)</f>
        <v>2.7777777777777821</v>
      </c>
      <c r="K22" s="4">
        <v>67.900000000000006</v>
      </c>
      <c r="L22" s="10">
        <f>B5*J$22+J$23</f>
        <v>130</v>
      </c>
      <c r="M22" s="38">
        <v>68</v>
      </c>
      <c r="N22" s="39">
        <f>M22*J$22+J$23</f>
        <v>130.27777777777777</v>
      </c>
      <c r="O22" s="32">
        <f>ROUNDUP(N22,0)</f>
        <v>131</v>
      </c>
    </row>
    <row r="23" spans="9:19" x14ac:dyDescent="0.25">
      <c r="I23" s="3" t="s">
        <v>9</v>
      </c>
      <c r="J23" s="15">
        <f>130-(67.9*J22)</f>
        <v>-58.611111111111427</v>
      </c>
      <c r="K23" s="4">
        <v>69.7</v>
      </c>
      <c r="L23" s="10">
        <f>B6*J$22+J$23</f>
        <v>135</v>
      </c>
      <c r="M23" s="38"/>
      <c r="N23" s="39"/>
      <c r="O23" s="32"/>
    </row>
    <row r="24" spans="9:19" x14ac:dyDescent="0.25">
      <c r="I24" s="3" t="s">
        <v>10</v>
      </c>
      <c r="J24" s="15">
        <f>-5/(69.7-71.6)</f>
        <v>2.6315789473684328</v>
      </c>
      <c r="K24" s="4">
        <v>69.7</v>
      </c>
      <c r="L24" s="10">
        <f>B6*J$24+J$25</f>
        <v>135</v>
      </c>
      <c r="M24" s="38">
        <v>70.099999999999994</v>
      </c>
      <c r="N24" s="39">
        <f>M24*J$24+J$25</f>
        <v>136.05263157894734</v>
      </c>
      <c r="O24" s="33">
        <f>ROUNDUP(N24,0)</f>
        <v>137</v>
      </c>
    </row>
    <row r="25" spans="9:19" x14ac:dyDescent="0.25">
      <c r="I25" s="3" t="s">
        <v>11</v>
      </c>
      <c r="J25" s="15">
        <f>135-(69.7*J24)</f>
        <v>-48.421052631579784</v>
      </c>
      <c r="K25" s="4">
        <v>71.599999999999994</v>
      </c>
      <c r="L25" s="10">
        <f>B7*J$24+J$25</f>
        <v>140</v>
      </c>
      <c r="M25" s="38"/>
      <c r="N25" s="39"/>
      <c r="O25" s="33"/>
    </row>
    <row r="26" spans="9:19" x14ac:dyDescent="0.25">
      <c r="I26" s="3" t="s">
        <v>13</v>
      </c>
      <c r="J26" s="15">
        <f>-5/(71.6-73.6)</f>
        <v>2.5</v>
      </c>
      <c r="K26" s="4">
        <v>71.599999999999994</v>
      </c>
      <c r="L26" s="10">
        <f>B7*J$26+J$27</f>
        <v>140</v>
      </c>
      <c r="M26" s="38">
        <v>72</v>
      </c>
      <c r="N26" s="39">
        <f>M26*J$26+J$27</f>
        <v>141</v>
      </c>
      <c r="O26" s="32">
        <f>ROUNDUP(N26,0)</f>
        <v>141</v>
      </c>
    </row>
    <row r="27" spans="9:19" x14ac:dyDescent="0.25">
      <c r="I27" s="3" t="s">
        <v>12</v>
      </c>
      <c r="J27" s="15">
        <f>140-(71.6*J26)</f>
        <v>-39</v>
      </c>
      <c r="K27" s="4">
        <v>73.599999999999994</v>
      </c>
      <c r="L27" s="10">
        <f>B8*J$26+J$27</f>
        <v>145</v>
      </c>
      <c r="M27" s="38"/>
      <c r="N27" s="39"/>
      <c r="O27" s="32"/>
    </row>
    <row r="28" spans="9:19" x14ac:dyDescent="0.25">
      <c r="I28" s="3" t="s">
        <v>14</v>
      </c>
      <c r="J28" s="15">
        <f>-5/(73.6-75.9)</f>
        <v>2.1739130434782501</v>
      </c>
      <c r="K28" s="4">
        <v>73.599999999999994</v>
      </c>
      <c r="L28" s="10">
        <f>B8*J$28+J$29</f>
        <v>145</v>
      </c>
      <c r="M28" s="38">
        <v>74.8</v>
      </c>
      <c r="N28" s="39">
        <f>M28*J$28+J$29</f>
        <v>147.60869565217391</v>
      </c>
      <c r="O28" s="32">
        <f>ROUNDUP(N28,0)</f>
        <v>148</v>
      </c>
    </row>
    <row r="29" spans="9:19" x14ac:dyDescent="0.25">
      <c r="I29" s="3" t="s">
        <v>15</v>
      </c>
      <c r="J29" s="15">
        <f>145-(73.6*J28)</f>
        <v>-14.999999999999204</v>
      </c>
      <c r="K29" s="4">
        <v>75.900000000000006</v>
      </c>
      <c r="L29" s="10">
        <f>B9*J$28+J$29</f>
        <v>150</v>
      </c>
      <c r="M29" s="38"/>
      <c r="N29" s="39"/>
      <c r="O29" s="32"/>
    </row>
  </sheetData>
  <sheetProtection algorithmName="SHA-512" hashValue="/U/XuWqreMDEabfjxd4a6uxy76BfZ2qmIP/0IxHo/8+l6zIM12aYlmZp80mVtz93f5WztR9XPKKReNq6A/gSMA==" saltValue="7Z1wO9cjQ9hCFdUqbA4t8Q==" spinCount="100000" sheet="1" objects="1" scenarios="1"/>
  <mergeCells count="17">
    <mergeCell ref="J18:J19"/>
    <mergeCell ref="I18:I19"/>
    <mergeCell ref="M26:M27"/>
    <mergeCell ref="N26:N27"/>
    <mergeCell ref="M28:M29"/>
    <mergeCell ref="N28:N29"/>
    <mergeCell ref="M20:M21"/>
    <mergeCell ref="N20:N21"/>
    <mergeCell ref="M22:M23"/>
    <mergeCell ref="N22:N23"/>
    <mergeCell ref="M24:M25"/>
    <mergeCell ref="N24:N25"/>
    <mergeCell ref="O20:O21"/>
    <mergeCell ref="O22:O23"/>
    <mergeCell ref="O24:O25"/>
    <mergeCell ref="O26:O27"/>
    <mergeCell ref="O28:O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stature height calculation</vt:lpstr>
      <vt:lpstr>backup</vt:lpstr>
    </vt:vector>
  </TitlesOfParts>
  <Company>RDW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Lammers, Hans</dc:creator>
  <cp:lastModifiedBy>Edoardo Gianotti</cp:lastModifiedBy>
  <dcterms:created xsi:type="dcterms:W3CDTF">2022-01-28T08:32:44Z</dcterms:created>
  <dcterms:modified xsi:type="dcterms:W3CDTF">2022-04-28T12:58:39Z</dcterms:modified>
</cp:coreProperties>
</file>