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itednations-my.sharepoint.com/personal/antonin_menegaux_un_org/Documents/UNECE/PPP/Standards/Project Impact Assessment Tool/Excel Tool/"/>
    </mc:Choice>
  </mc:AlternateContent>
  <xr:revisionPtr revIDLastSave="195" documentId="13_ncr:1_{18E7A84F-0941-4474-A307-590BEAEC9E70}" xr6:coauthVersionLast="45" xr6:coauthVersionMax="45" xr10:uidLastSave="{B96019E9-1AA0-4BEE-8373-B2428B0C6E13}"/>
  <workbookProtection workbookAlgorithmName="SHA-512" workbookHashValue="Ywi33vapC08Vk7zoqGrMRANekX8vmbs7m/f0aWPIVzcqHb+Wfh7TQm3Xaf+LR5GETgxMSPOl3kEdcIgYbtxIwQ==" workbookSaltValue="CNEi2fbnqGlgCRNHmw9xVg==" workbookSpinCount="100000" lockStructure="1"/>
  <bookViews>
    <workbookView xWindow="-98" yWindow="-98" windowWidth="28996" windowHeight="15945" tabRatio="935" xr2:uid="{E7F0D8C3-A6DC-47BF-8E83-E1702A2C5428}"/>
  </bookViews>
  <sheets>
    <sheet name="Home page" sheetId="1" r:id="rId1"/>
    <sheet name="At-A-Glance" sheetId="29" r:id="rId2"/>
    <sheet name="Access and Equity" sheetId="10" r:id="rId3"/>
    <sheet name="Economic Effectiveness" sheetId="24" r:id="rId4"/>
    <sheet name="Environmental Sust. &amp; Res." sheetId="23" r:id="rId5"/>
    <sheet name="Replicability" sheetId="25" r:id="rId6"/>
    <sheet name="Stakeholder Engagement" sheetId="26" r:id="rId7"/>
    <sheet name="Results" sheetId="19" r:id="rId8"/>
    <sheet name="Config" sheetId="5" state="hidden" r:id="rId9"/>
    <sheet name="QualCommentList" sheetId="20" state="hidden" r:id="rId10"/>
    <sheet name="Countries" sheetId="18" state="hidden" r:id="rId11"/>
  </sheets>
  <definedNames>
    <definedName name="BenchmarkAE1">'Access and Equity'!$C$3:$H$12</definedName>
    <definedName name="BenchmarkAE2">'Access and Equity'!$C$15:$H$23</definedName>
    <definedName name="BenchmarkAE3">'Access and Equity'!$C$26:$H$36</definedName>
    <definedName name="BenchmarkAE4">'Access and Equity'!$C$39:$H$46</definedName>
    <definedName name="BenchmarkEE1">'Economic Effectiveness'!$C$3:$H$13</definedName>
    <definedName name="BenchmarkEE2">'Economic Effectiveness'!$C$16:$H$25</definedName>
    <definedName name="BenchmarkEE3">'Economic Effectiveness'!$C$28:$H$36</definedName>
    <definedName name="BenchmarkEE4">'Economic Effectiveness'!$C$39:$H$49</definedName>
    <definedName name="BenchmarkES1">'Environmental Sust. &amp; Res.'!$C$3:$H$17</definedName>
    <definedName name="BenchmarkES2">'Environmental Sust. &amp; Res.'!$C$20:$H$37</definedName>
    <definedName name="BenchmarkES3">'Environmental Sust. &amp; Res.'!$C$40:$H$48</definedName>
    <definedName name="BenchmarkES4">'Environmental Sust. &amp; Res.'!$C$51:$H$58</definedName>
    <definedName name="BenchmarkES5">'Environmental Sust. &amp; Res.'!$C$61:$H$70</definedName>
    <definedName name="BenchmarkES6">'Environmental Sust. &amp; Res.'!$C$73:$H$80</definedName>
    <definedName name="BenchmarkES7">'Environmental Sust. &amp; Res.'!$C$83:$H$91</definedName>
    <definedName name="BenchmarkRE1">Replicability!$C$3:$H$12</definedName>
    <definedName name="BenchmarkRE2">Replicability!$C$15:$H$22</definedName>
    <definedName name="BenchmarkRE3">Replicability!$C$25:$H$33</definedName>
    <definedName name="BenchmarkSE1">'Stakeholder Engagement'!$C$3:$H$11</definedName>
    <definedName name="BenchmarkSE2">'Stakeholder Engagement'!$C$14:$H$23</definedName>
    <definedName name="BenchmarkSE3">'Stakeholder Engagement'!$C$26:$H$33</definedName>
    <definedName name="BenchmarkSE4">'Stakeholder Engagement'!$C$36:$H$43</definedName>
    <definedName name="_xlnm.Print_Titles" localSheetId="2">'Access and Equity'!$2:$2</definedName>
    <definedName name="_xlnm.Print_Titles" localSheetId="3">'Economic Effectiveness'!$2:$2</definedName>
    <definedName name="_xlnm.Print_Titles" localSheetId="4">'Environmental Sust. &amp; Res.'!$2:$2</definedName>
    <definedName name="_xlnm.Print_Titles" localSheetId="5">Replicability!$2:$2</definedName>
    <definedName name="_xlnm.Print_Titles" localSheetId="7">Results!$1:$1</definedName>
    <definedName name="_xlnm.Print_Titles" localSheetId="6">'Stakeholder Engagement'!$2:$2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9" i="24" l="1"/>
  <c r="N46" i="26"/>
  <c r="N36" i="26"/>
  <c r="N26" i="26"/>
  <c r="N14" i="26"/>
  <c r="H43" i="26"/>
  <c r="H33" i="26"/>
  <c r="H23" i="26"/>
  <c r="H11" i="26"/>
  <c r="N36" i="25"/>
  <c r="N25" i="25"/>
  <c r="N15" i="25"/>
  <c r="H33" i="25"/>
  <c r="H22" i="25"/>
  <c r="H12" i="25"/>
  <c r="N94" i="23"/>
  <c r="N83" i="23"/>
  <c r="N73" i="23"/>
  <c r="N61" i="23"/>
  <c r="N51" i="23"/>
  <c r="N40" i="23"/>
  <c r="N20" i="23"/>
  <c r="H91" i="23"/>
  <c r="H80" i="23"/>
  <c r="H70" i="23"/>
  <c r="H58" i="23"/>
  <c r="H48" i="23"/>
  <c r="H37" i="23"/>
  <c r="H33" i="23"/>
  <c r="H28" i="23"/>
  <c r="H17" i="23"/>
  <c r="H11" i="23" l="1"/>
  <c r="N52" i="24"/>
  <c r="N39" i="24"/>
  <c r="N28" i="24"/>
  <c r="N16" i="24"/>
  <c r="H36" i="24"/>
  <c r="H25" i="24"/>
  <c r="H13" i="24"/>
  <c r="N15" i="10"/>
  <c r="N26" i="10"/>
  <c r="N39" i="10"/>
  <c r="N49" i="10"/>
  <c r="H46" i="10"/>
  <c r="H36" i="10"/>
  <c r="H23" i="10"/>
  <c r="H12" i="10"/>
  <c r="J13" i="19" l="1"/>
  <c r="J14" i="19" l="1"/>
  <c r="K32" i="26"/>
  <c r="K31" i="26"/>
  <c r="N44" i="26"/>
  <c r="R44" i="26"/>
  <c r="P44" i="26"/>
  <c r="R34" i="26"/>
  <c r="P34" i="26"/>
  <c r="N34" i="26"/>
  <c r="K42" i="26"/>
  <c r="K41" i="26"/>
  <c r="K40" i="26"/>
  <c r="R40" i="26" s="1"/>
  <c r="K30" i="26"/>
  <c r="K22" i="26"/>
  <c r="K21" i="26"/>
  <c r="K20" i="26"/>
  <c r="K19" i="26"/>
  <c r="K18" i="26"/>
  <c r="R24" i="26"/>
  <c r="P24" i="26"/>
  <c r="N24" i="26"/>
  <c r="R12" i="26"/>
  <c r="P12" i="26"/>
  <c r="N12" i="26"/>
  <c r="K10" i="26"/>
  <c r="R10" i="26" s="1"/>
  <c r="K9" i="26"/>
  <c r="K8" i="26"/>
  <c r="K7" i="26"/>
  <c r="K32" i="25"/>
  <c r="R32" i="25" s="1"/>
  <c r="K31" i="25"/>
  <c r="R31" i="25" s="1"/>
  <c r="K30" i="25"/>
  <c r="K21" i="25"/>
  <c r="K19" i="25"/>
  <c r="K20" i="25"/>
  <c r="R13" i="25"/>
  <c r="P13" i="25"/>
  <c r="N13" i="25"/>
  <c r="K11" i="25"/>
  <c r="K10" i="25"/>
  <c r="K9" i="25"/>
  <c r="N9" i="25" s="1"/>
  <c r="K8" i="25"/>
  <c r="N8" i="25" s="1"/>
  <c r="K7" i="25"/>
  <c r="K90" i="23"/>
  <c r="R90" i="23" s="1"/>
  <c r="K89" i="23"/>
  <c r="R89" i="23" s="1"/>
  <c r="K88" i="23"/>
  <c r="R88" i="23" s="1"/>
  <c r="K87" i="23"/>
  <c r="K79" i="23"/>
  <c r="R79" i="23" s="1"/>
  <c r="K78" i="23"/>
  <c r="R78" i="23" s="1"/>
  <c r="K77" i="23"/>
  <c r="K69" i="23"/>
  <c r="R69" i="23" s="1"/>
  <c r="K68" i="23"/>
  <c r="R68" i="23" s="1"/>
  <c r="K67" i="23"/>
  <c r="P67" i="23" s="1"/>
  <c r="K66" i="23"/>
  <c r="K65" i="23"/>
  <c r="K55" i="23"/>
  <c r="K56" i="23"/>
  <c r="K57" i="23"/>
  <c r="R57" i="23" s="1"/>
  <c r="K46" i="23"/>
  <c r="R46" i="23" s="1"/>
  <c r="K47" i="23"/>
  <c r="R47" i="23" s="1"/>
  <c r="K45" i="23"/>
  <c r="K44" i="23"/>
  <c r="K36" i="23"/>
  <c r="R36" i="23" s="1"/>
  <c r="K32" i="23"/>
  <c r="R32" i="23" s="1"/>
  <c r="K31" i="23"/>
  <c r="P31" i="23" s="1"/>
  <c r="K30" i="23"/>
  <c r="K27" i="23"/>
  <c r="R27" i="23" s="1"/>
  <c r="K26" i="23"/>
  <c r="R26" i="23" s="1"/>
  <c r="K35" i="23"/>
  <c r="R35" i="23" s="1"/>
  <c r="K25" i="23"/>
  <c r="K16" i="23"/>
  <c r="P16" i="23" s="1"/>
  <c r="K15" i="23"/>
  <c r="P15" i="23" s="1"/>
  <c r="K14" i="23"/>
  <c r="K13" i="23"/>
  <c r="K10" i="23"/>
  <c r="R10" i="23" s="1"/>
  <c r="K9" i="23"/>
  <c r="K8" i="23"/>
  <c r="K48" i="24"/>
  <c r="K47" i="24"/>
  <c r="N47" i="24" s="1"/>
  <c r="K46" i="24"/>
  <c r="N46" i="24" s="1"/>
  <c r="K45" i="24"/>
  <c r="N45" i="24" s="1"/>
  <c r="K44" i="24"/>
  <c r="K43" i="24"/>
  <c r="K35" i="24"/>
  <c r="K34" i="24"/>
  <c r="N34" i="24" s="1"/>
  <c r="K33" i="24"/>
  <c r="N33" i="24" s="1"/>
  <c r="K32" i="24"/>
  <c r="K24" i="24"/>
  <c r="K23" i="24"/>
  <c r="K22" i="24"/>
  <c r="N22" i="24" s="1"/>
  <c r="K21" i="24"/>
  <c r="N21" i="24" s="1"/>
  <c r="K20" i="24"/>
  <c r="K12" i="24"/>
  <c r="K11" i="24"/>
  <c r="K10" i="24"/>
  <c r="N10" i="24" s="1"/>
  <c r="K9" i="24"/>
  <c r="N9" i="24" s="1"/>
  <c r="K8" i="24"/>
  <c r="N8" i="24" s="1"/>
  <c r="K7" i="24"/>
  <c r="K45" i="10"/>
  <c r="K44" i="10"/>
  <c r="K43" i="10"/>
  <c r="K35" i="10"/>
  <c r="K34" i="10"/>
  <c r="K33" i="10"/>
  <c r="K32" i="10"/>
  <c r="N32" i="10" s="1"/>
  <c r="K31" i="10"/>
  <c r="K30" i="10"/>
  <c r="K22" i="10"/>
  <c r="K21" i="10"/>
  <c r="N21" i="10" s="1"/>
  <c r="K20" i="10"/>
  <c r="E5" i="20" s="1"/>
  <c r="K19" i="10"/>
  <c r="K11" i="10"/>
  <c r="K10" i="10"/>
  <c r="N10" i="10" s="1"/>
  <c r="K9" i="10"/>
  <c r="N9" i="10" s="1"/>
  <c r="K8" i="10"/>
  <c r="K7" i="10"/>
  <c r="R23" i="25"/>
  <c r="P23" i="25"/>
  <c r="N23" i="25"/>
  <c r="R50" i="24"/>
  <c r="P50" i="24"/>
  <c r="N50" i="24"/>
  <c r="R37" i="24"/>
  <c r="P37" i="24"/>
  <c r="N37" i="24"/>
  <c r="R26" i="24"/>
  <c r="P26" i="24"/>
  <c r="N26" i="24"/>
  <c r="R14" i="24"/>
  <c r="P14" i="24"/>
  <c r="N14" i="24"/>
  <c r="R47" i="10"/>
  <c r="P47" i="10"/>
  <c r="N47" i="10"/>
  <c r="R37" i="10"/>
  <c r="P37" i="10"/>
  <c r="N37" i="10"/>
  <c r="R24" i="10"/>
  <c r="P24" i="10"/>
  <c r="N24" i="10"/>
  <c r="R13" i="10"/>
  <c r="P13" i="10"/>
  <c r="N13" i="10"/>
  <c r="M4" i="23"/>
  <c r="N34" i="23" s="1"/>
  <c r="R21" i="25" l="1"/>
  <c r="N21" i="25"/>
  <c r="P23" i="24"/>
  <c r="N23" i="24"/>
  <c r="N33" i="10"/>
  <c r="P33" i="10"/>
  <c r="P24" i="24"/>
  <c r="N24" i="24"/>
  <c r="N27" i="24" s="1"/>
  <c r="P10" i="25"/>
  <c r="N10" i="25"/>
  <c r="R21" i="26"/>
  <c r="N21" i="26"/>
  <c r="E12" i="20"/>
  <c r="F12" i="20"/>
  <c r="R11" i="25"/>
  <c r="N11" i="25"/>
  <c r="P11" i="25"/>
  <c r="P14" i="25" s="1"/>
  <c r="R22" i="26"/>
  <c r="N22" i="26"/>
  <c r="P22" i="26"/>
  <c r="P25" i="26" s="1"/>
  <c r="N48" i="24"/>
  <c r="N51" i="24" s="1"/>
  <c r="P48" i="24"/>
  <c r="P51" i="24" s="1"/>
  <c r="E8" i="20"/>
  <c r="F8" i="20"/>
  <c r="P12" i="24"/>
  <c r="N12" i="24"/>
  <c r="N7" i="26"/>
  <c r="F29" i="20"/>
  <c r="E29" i="20"/>
  <c r="N35" i="10"/>
  <c r="P35" i="10"/>
  <c r="E9" i="20"/>
  <c r="F9" i="20"/>
  <c r="P35" i="24"/>
  <c r="P38" i="24" s="1"/>
  <c r="N35" i="24"/>
  <c r="N38" i="24" s="1"/>
  <c r="P31" i="26"/>
  <c r="N31" i="26"/>
  <c r="N7" i="25"/>
  <c r="E27" i="20"/>
  <c r="F27" i="20"/>
  <c r="R20" i="25"/>
  <c r="N20" i="25"/>
  <c r="N24" i="25" s="1"/>
  <c r="R18" i="26"/>
  <c r="E32" i="20"/>
  <c r="F32" i="20"/>
  <c r="P32" i="26"/>
  <c r="P35" i="26" s="1"/>
  <c r="N32" i="26"/>
  <c r="P11" i="24"/>
  <c r="N11" i="24"/>
  <c r="N15" i="24" s="1"/>
  <c r="P22" i="10"/>
  <c r="P25" i="10" s="1"/>
  <c r="N22" i="10"/>
  <c r="N25" i="10" s="1"/>
  <c r="E6" i="20"/>
  <c r="F6" i="20"/>
  <c r="N45" i="10"/>
  <c r="N48" i="10" s="1"/>
  <c r="P45" i="10"/>
  <c r="P48" i="10" s="1"/>
  <c r="E7" i="20"/>
  <c r="F7" i="20"/>
  <c r="P19" i="26"/>
  <c r="F33" i="20"/>
  <c r="E33" i="20"/>
  <c r="R42" i="26"/>
  <c r="P42" i="26"/>
  <c r="P45" i="26" s="1"/>
  <c r="N42" i="26"/>
  <c r="P41" i="26"/>
  <c r="N41" i="26"/>
  <c r="F23" i="20"/>
  <c r="E23" i="20"/>
  <c r="R87" i="23"/>
  <c r="F26" i="20"/>
  <c r="E26" i="20"/>
  <c r="R55" i="23"/>
  <c r="F21" i="20"/>
  <c r="E21" i="20"/>
  <c r="N44" i="23"/>
  <c r="E19" i="20"/>
  <c r="F19" i="20"/>
  <c r="R56" i="23"/>
  <c r="E22" i="20"/>
  <c r="F22" i="20"/>
  <c r="F13" i="20"/>
  <c r="E13" i="20"/>
  <c r="P45" i="23"/>
  <c r="E20" i="20"/>
  <c r="F20" i="20"/>
  <c r="N9" i="23"/>
  <c r="F14" i="20"/>
  <c r="E14" i="20"/>
  <c r="N14" i="23"/>
  <c r="E16" i="20"/>
  <c r="F16" i="20"/>
  <c r="N13" i="23"/>
  <c r="F15" i="20"/>
  <c r="E15" i="20"/>
  <c r="N34" i="10"/>
  <c r="N38" i="10" s="1"/>
  <c r="P34" i="10"/>
  <c r="P11" i="10"/>
  <c r="P14" i="10" s="1"/>
  <c r="N11" i="10"/>
  <c r="N14" i="10" s="1"/>
  <c r="F11" i="20"/>
  <c r="E11" i="20"/>
  <c r="R77" i="23"/>
  <c r="F25" i="20"/>
  <c r="E25" i="20"/>
  <c r="P66" i="23"/>
  <c r="F24" i="20"/>
  <c r="E24" i="20"/>
  <c r="N30" i="23"/>
  <c r="N33" i="23" s="1"/>
  <c r="F18" i="20"/>
  <c r="E18" i="20"/>
  <c r="P25" i="23"/>
  <c r="E17" i="20"/>
  <c r="F17" i="20"/>
  <c r="E28" i="20"/>
  <c r="F28" i="20"/>
  <c r="E10" i="20"/>
  <c r="F10" i="20"/>
  <c r="F4" i="20"/>
  <c r="E4" i="20"/>
  <c r="R30" i="26"/>
  <c r="E35" i="20"/>
  <c r="F35" i="20"/>
  <c r="R20" i="26"/>
  <c r="F34" i="20"/>
  <c r="E34" i="20"/>
  <c r="R8" i="26"/>
  <c r="E30" i="20"/>
  <c r="F30" i="20"/>
  <c r="R9" i="26"/>
  <c r="E31" i="20"/>
  <c r="F31" i="20"/>
  <c r="E3" i="20"/>
  <c r="F3" i="20"/>
  <c r="F5" i="20"/>
  <c r="P36" i="23"/>
  <c r="P30" i="23"/>
  <c r="N12" i="25"/>
  <c r="R48" i="26"/>
  <c r="K12" i="19" s="1"/>
  <c r="P32" i="25"/>
  <c r="R37" i="25"/>
  <c r="K11" i="19" s="1"/>
  <c r="N29" i="23"/>
  <c r="N32" i="25"/>
  <c r="P34" i="23"/>
  <c r="R91" i="23"/>
  <c r="R34" i="23"/>
  <c r="P29" i="23"/>
  <c r="R25" i="23"/>
  <c r="R28" i="23" s="1"/>
  <c r="N38" i="23"/>
  <c r="N56" i="23"/>
  <c r="N30" i="26"/>
  <c r="N33" i="26" s="1"/>
  <c r="R37" i="23"/>
  <c r="N71" i="23"/>
  <c r="R80" i="23"/>
  <c r="N92" i="23"/>
  <c r="P71" i="23"/>
  <c r="P92" i="23"/>
  <c r="R71" i="23"/>
  <c r="R30" i="23"/>
  <c r="R31" i="23"/>
  <c r="R29" i="23"/>
  <c r="P38" i="23"/>
  <c r="N59" i="23"/>
  <c r="P55" i="23"/>
  <c r="N77" i="23"/>
  <c r="N80" i="23" s="1"/>
  <c r="R92" i="23"/>
  <c r="N55" i="23"/>
  <c r="P32" i="23"/>
  <c r="R38" i="23"/>
  <c r="P59" i="23"/>
  <c r="P77" i="23"/>
  <c r="R59" i="23"/>
  <c r="P78" i="23"/>
  <c r="R31" i="26"/>
  <c r="R41" i="26"/>
  <c r="N40" i="26"/>
  <c r="N43" i="26" s="1"/>
  <c r="R32" i="26"/>
  <c r="P40" i="26"/>
  <c r="P30" i="26"/>
  <c r="P33" i="26" s="1"/>
  <c r="P20" i="26"/>
  <c r="N20" i="26"/>
  <c r="N19" i="26"/>
  <c r="R19" i="26"/>
  <c r="P21" i="26"/>
  <c r="N18" i="26"/>
  <c r="P18" i="26"/>
  <c r="R7" i="26"/>
  <c r="N8" i="26"/>
  <c r="P8" i="26"/>
  <c r="P7" i="26"/>
  <c r="N9" i="26"/>
  <c r="P9" i="26"/>
  <c r="P31" i="25"/>
  <c r="N31" i="25"/>
  <c r="P21" i="25"/>
  <c r="P20" i="25"/>
  <c r="P88" i="23"/>
  <c r="P89" i="23"/>
  <c r="N87" i="23"/>
  <c r="N91" i="23" s="1"/>
  <c r="P87" i="23"/>
  <c r="R66" i="23"/>
  <c r="R67" i="23"/>
  <c r="N66" i="23"/>
  <c r="P56" i="23"/>
  <c r="P46" i="23"/>
  <c r="R45" i="23"/>
  <c r="N45" i="23"/>
  <c r="P44" i="23"/>
  <c r="R44" i="23"/>
  <c r="N35" i="23"/>
  <c r="N37" i="23" s="1"/>
  <c r="P35" i="23"/>
  <c r="P26" i="23"/>
  <c r="P27" i="23"/>
  <c r="N12" i="23"/>
  <c r="P12" i="23"/>
  <c r="R12" i="23"/>
  <c r="P81" i="23"/>
  <c r="N18" i="23"/>
  <c r="N81" i="23"/>
  <c r="P18" i="23"/>
  <c r="N49" i="23"/>
  <c r="R18" i="23"/>
  <c r="R81" i="23"/>
  <c r="P49" i="23"/>
  <c r="R49" i="23"/>
  <c r="P13" i="23"/>
  <c r="R13" i="23"/>
  <c r="R14" i="23"/>
  <c r="P14" i="23"/>
  <c r="R16" i="23"/>
  <c r="R15" i="23"/>
  <c r="P9" i="23"/>
  <c r="R9" i="23"/>
  <c r="P10" i="23"/>
  <c r="P47" i="24"/>
  <c r="P46" i="24"/>
  <c r="P45" i="24"/>
  <c r="N44" i="24"/>
  <c r="R53" i="24"/>
  <c r="K9" i="19" s="1"/>
  <c r="N43" i="24"/>
  <c r="R33" i="24"/>
  <c r="N17" i="23" l="1"/>
  <c r="P15" i="24"/>
  <c r="R58" i="23"/>
  <c r="N14" i="25"/>
  <c r="R11" i="26"/>
  <c r="N45" i="26"/>
  <c r="P43" i="26"/>
  <c r="N25" i="26"/>
  <c r="P38" i="10"/>
  <c r="P27" i="24"/>
  <c r="N48" i="23"/>
  <c r="R23" i="26"/>
  <c r="N35" i="26"/>
  <c r="R43" i="26"/>
  <c r="B21" i="19"/>
  <c r="M21" i="19"/>
  <c r="N11" i="26"/>
  <c r="P37" i="23"/>
  <c r="R48" i="23"/>
  <c r="P80" i="23"/>
  <c r="N23" i="26"/>
  <c r="R33" i="23"/>
  <c r="P33" i="23"/>
  <c r="P91" i="23"/>
  <c r="P48" i="23"/>
  <c r="N58" i="23"/>
  <c r="P28" i="23"/>
  <c r="P23" i="26"/>
  <c r="P58" i="23"/>
  <c r="Q95" i="23"/>
  <c r="K10" i="19" s="1"/>
  <c r="P11" i="26"/>
  <c r="R33" i="26"/>
  <c r="N49" i="24"/>
  <c r="P17" i="23"/>
  <c r="R17" i="23"/>
  <c r="P43" i="24"/>
  <c r="R43" i="24"/>
  <c r="P33" i="24"/>
  <c r="R35" i="24"/>
  <c r="R34" i="24"/>
  <c r="P34" i="24"/>
  <c r="R12" i="24"/>
  <c r="R11" i="24"/>
  <c r="P10" i="24"/>
  <c r="P9" i="24"/>
  <c r="R24" i="24"/>
  <c r="R23" i="24"/>
  <c r="P22" i="24"/>
  <c r="N43" i="10" l="1"/>
  <c r="R30" i="10"/>
  <c r="P32" i="10"/>
  <c r="R31" i="10"/>
  <c r="R11" i="10"/>
  <c r="P10" i="10"/>
  <c r="P9" i="10"/>
  <c r="N8" i="10"/>
  <c r="M50" i="26" l="1"/>
  <c r="N31" i="10"/>
  <c r="P31" i="10"/>
  <c r="P43" i="10"/>
  <c r="R43" i="10"/>
  <c r="N30" i="10"/>
  <c r="P30" i="10"/>
  <c r="R32" i="10"/>
  <c r="P44" i="10"/>
  <c r="R35" i="10"/>
  <c r="R33" i="10"/>
  <c r="J12" i="19" l="1"/>
  <c r="N36" i="10"/>
  <c r="P46" i="10"/>
  <c r="P36" i="10"/>
  <c r="R44" i="10"/>
  <c r="N44" i="10"/>
  <c r="N46" i="10" s="1"/>
  <c r="R22" i="10"/>
  <c r="P9" i="25" l="1"/>
  <c r="R7" i="25"/>
  <c r="N30" i="25"/>
  <c r="K29" i="25"/>
  <c r="R10" i="25"/>
  <c r="R8" i="25"/>
  <c r="R47" i="24"/>
  <c r="R45" i="24"/>
  <c r="R22" i="24"/>
  <c r="R9" i="24"/>
  <c r="R32" i="24"/>
  <c r="N20" i="24"/>
  <c r="N25" i="24" s="1"/>
  <c r="R10" i="24"/>
  <c r="R8" i="24"/>
  <c r="R29" i="25" l="1"/>
  <c r="P29" i="25"/>
  <c r="N29" i="25"/>
  <c r="N33" i="25" s="1"/>
  <c r="P19" i="25"/>
  <c r="P22" i="25" s="1"/>
  <c r="R19" i="25"/>
  <c r="P65" i="23"/>
  <c r="P70" i="23" s="1"/>
  <c r="N65" i="23"/>
  <c r="N70" i="23" s="1"/>
  <c r="R65" i="23"/>
  <c r="R70" i="23" s="1"/>
  <c r="N25" i="23"/>
  <c r="N28" i="23" s="1"/>
  <c r="R36" i="24"/>
  <c r="N7" i="24"/>
  <c r="N13" i="24" s="1"/>
  <c r="P7" i="24"/>
  <c r="R7" i="24"/>
  <c r="R13" i="24" s="1"/>
  <c r="N19" i="25"/>
  <c r="N22" i="25" s="1"/>
  <c r="P7" i="25"/>
  <c r="P8" i="25"/>
  <c r="R9" i="25"/>
  <c r="R12" i="25" s="1"/>
  <c r="P30" i="25"/>
  <c r="R30" i="25"/>
  <c r="R46" i="24"/>
  <c r="R20" i="24"/>
  <c r="P44" i="24"/>
  <c r="P49" i="24" s="1"/>
  <c r="R44" i="24"/>
  <c r="P8" i="24"/>
  <c r="P21" i="24"/>
  <c r="P20" i="24"/>
  <c r="R21" i="24"/>
  <c r="N32" i="24"/>
  <c r="N36" i="24" s="1"/>
  <c r="P32" i="24"/>
  <c r="P36" i="24" s="1"/>
  <c r="P8" i="23"/>
  <c r="P25" i="24" l="1"/>
  <c r="R33" i="25"/>
  <c r="P12" i="25"/>
  <c r="P33" i="25"/>
  <c r="R22" i="25"/>
  <c r="R25" i="24"/>
  <c r="P11" i="23"/>
  <c r="P13" i="24"/>
  <c r="R8" i="23"/>
  <c r="N8" i="23"/>
  <c r="M39" i="25" l="1"/>
  <c r="J11" i="19" s="1"/>
  <c r="J15" i="19"/>
  <c r="N11" i="23"/>
  <c r="R11" i="23"/>
  <c r="R48" i="24"/>
  <c r="R49" i="24" s="1"/>
  <c r="L97" i="23" l="1"/>
  <c r="J10" i="19" s="1"/>
  <c r="M55" i="24"/>
  <c r="J9" i="19" s="1"/>
  <c r="F9" i="19" s="1"/>
  <c r="R50" i="10" l="1"/>
  <c r="K8" i="19" s="1"/>
  <c r="F12" i="19" l="1"/>
  <c r="F10" i="19"/>
  <c r="F11" i="19"/>
  <c r="R21" i="10"/>
  <c r="R20" i="10"/>
  <c r="R19" i="10"/>
  <c r="R8" i="10"/>
  <c r="R7" i="10"/>
  <c r="R23" i="10" l="1"/>
  <c r="N19" i="10"/>
  <c r="P21" i="10"/>
  <c r="N20" i="10"/>
  <c r="P20" i="10"/>
  <c r="P19" i="10"/>
  <c r="P7" i="10"/>
  <c r="P8" i="10"/>
  <c r="R9" i="10"/>
  <c r="N7" i="10"/>
  <c r="N12" i="10" s="1"/>
  <c r="P12" i="10" l="1"/>
  <c r="P23" i="10"/>
  <c r="N23" i="10"/>
  <c r="R45" i="10" l="1"/>
  <c r="R46" i="10" s="1"/>
  <c r="R10" i="10" l="1"/>
  <c r="R12" i="10" s="1"/>
  <c r="R34" i="10" l="1"/>
  <c r="R36" i="10" s="1"/>
  <c r="M52" i="10" l="1"/>
  <c r="J8" i="19" s="1"/>
  <c r="J16" i="19" s="1"/>
  <c r="F13" i="19" s="1"/>
  <c r="F8" i="19" l="1"/>
</calcChain>
</file>

<file path=xl/sharedStrings.xml><?xml version="1.0" encoding="utf-8"?>
<sst xmlns="http://schemas.openxmlformats.org/spreadsheetml/2006/main" count="1612" uniqueCount="813">
  <si>
    <t>ID</t>
  </si>
  <si>
    <t>Choices</t>
  </si>
  <si>
    <t>Points</t>
  </si>
  <si>
    <t>Overall score</t>
  </si>
  <si>
    <t>Yes</t>
  </si>
  <si>
    <t>No</t>
  </si>
  <si>
    <t>AE1.3</t>
  </si>
  <si>
    <t>AE1.4</t>
  </si>
  <si>
    <t>AE1.5</t>
  </si>
  <si>
    <t>AE2.3</t>
  </si>
  <si>
    <t>AE2.4</t>
  </si>
  <si>
    <t>AE3.5</t>
  </si>
  <si>
    <t>AE3.4</t>
  </si>
  <si>
    <t>AE3.3</t>
  </si>
  <si>
    <t>AE3.2</t>
  </si>
  <si>
    <t>AE3.1</t>
  </si>
  <si>
    <t>AE4.3</t>
  </si>
  <si>
    <t>AE3.6</t>
  </si>
  <si>
    <t>Biodiversity Categories</t>
  </si>
  <si>
    <t>Categories</t>
  </si>
  <si>
    <t>Performance levels</t>
  </si>
  <si>
    <t>Value</t>
  </si>
  <si>
    <t>Level name</t>
  </si>
  <si>
    <t>Answers N/A</t>
  </si>
  <si>
    <t>Complies:</t>
  </si>
  <si>
    <t>AE1 Points:</t>
  </si>
  <si>
    <t>Points:</t>
  </si>
  <si>
    <t>AE2 Points:</t>
  </si>
  <si>
    <t>AE3 Points:</t>
  </si>
  <si>
    <t>AE4 Points:</t>
  </si>
  <si>
    <t>Answers Generic</t>
  </si>
  <si>
    <t>Answer value</t>
  </si>
  <si>
    <t>Maximum points for this outcome:</t>
  </si>
  <si>
    <t>EE1.2</t>
  </si>
  <si>
    <t>EE1.3</t>
  </si>
  <si>
    <t>EE1.4</t>
  </si>
  <si>
    <t>EE1.5</t>
  </si>
  <si>
    <t>EE1 Points:</t>
  </si>
  <si>
    <t>EE2.2</t>
  </si>
  <si>
    <t>EE2.3</t>
  </si>
  <si>
    <t>EE2.4</t>
  </si>
  <si>
    <t>EE3.2</t>
  </si>
  <si>
    <t>EE3.3</t>
  </si>
  <si>
    <t>EE3.4</t>
  </si>
  <si>
    <t>EE3 Points:</t>
  </si>
  <si>
    <t>EE4.1</t>
  </si>
  <si>
    <t>EE4.2</t>
  </si>
  <si>
    <t>EE4.3</t>
  </si>
  <si>
    <t>EE4 Points:</t>
  </si>
  <si>
    <t>EE1.6</t>
  </si>
  <si>
    <t>EE2.5</t>
  </si>
  <si>
    <t>EE4.4</t>
  </si>
  <si>
    <t>EE4.5</t>
  </si>
  <si>
    <t>EE4.6</t>
  </si>
  <si>
    <t>ES1.3</t>
  </si>
  <si>
    <t>ES1.6</t>
  </si>
  <si>
    <t>ES1 Points:</t>
  </si>
  <si>
    <t>ES2.1</t>
  </si>
  <si>
    <t>ES2.2</t>
  </si>
  <si>
    <t>ES2.4</t>
  </si>
  <si>
    <t>ES2.5</t>
  </si>
  <si>
    <t>ES2 Points:</t>
  </si>
  <si>
    <t>ES3.2</t>
  </si>
  <si>
    <t>ES3.3</t>
  </si>
  <si>
    <t>ES3.4</t>
  </si>
  <si>
    <t>ES4.2</t>
  </si>
  <si>
    <t>ES4 Points:</t>
  </si>
  <si>
    <t>ES5.2</t>
  </si>
  <si>
    <t>ES5.3</t>
  </si>
  <si>
    <t>ES5.4</t>
  </si>
  <si>
    <t>ES5.5</t>
  </si>
  <si>
    <t>ES5 Points:</t>
  </si>
  <si>
    <t>ES6.1</t>
  </si>
  <si>
    <t>ES6.2</t>
  </si>
  <si>
    <t>ES6.3</t>
  </si>
  <si>
    <t>ES6 Points:</t>
  </si>
  <si>
    <t>ES7.2</t>
  </si>
  <si>
    <t>ES7.3</t>
  </si>
  <si>
    <t>ES7.4</t>
  </si>
  <si>
    <t>ES1.7</t>
  </si>
  <si>
    <t>ES2.6</t>
  </si>
  <si>
    <t>ES2.7</t>
  </si>
  <si>
    <t>RE1.2</t>
  </si>
  <si>
    <t>RE1.3</t>
  </si>
  <si>
    <t>RE1.4</t>
  </si>
  <si>
    <t>RE1.5</t>
  </si>
  <si>
    <t>RE1 Points:</t>
  </si>
  <si>
    <t>RE2.2</t>
  </si>
  <si>
    <t>RE2.3</t>
  </si>
  <si>
    <t>RE2 Points:</t>
  </si>
  <si>
    <t>RE3.1</t>
  </si>
  <si>
    <t>RE3 Points:</t>
  </si>
  <si>
    <t>SE1.3</t>
  </si>
  <si>
    <t>SE2.3</t>
  </si>
  <si>
    <t>SE2.4</t>
  </si>
  <si>
    <t>SE2 Points:</t>
  </si>
  <si>
    <t>SE3.2</t>
  </si>
  <si>
    <t>SE3.3</t>
  </si>
  <si>
    <t>SE3 Points:</t>
  </si>
  <si>
    <t>SE4.1</t>
  </si>
  <si>
    <t>SE4.2</t>
  </si>
  <si>
    <t>SE4.3</t>
  </si>
  <si>
    <t>SE4 Points:</t>
  </si>
  <si>
    <t>NA</t>
  </si>
  <si>
    <t>EE</t>
  </si>
  <si>
    <t>RE</t>
  </si>
  <si>
    <t>ES</t>
  </si>
  <si>
    <t>SE</t>
  </si>
  <si>
    <t>AE</t>
  </si>
  <si>
    <t>Country</t>
  </si>
  <si>
    <t>Category</t>
  </si>
  <si>
    <t>Total points EE</t>
  </si>
  <si>
    <t>Total points AE</t>
  </si>
  <si>
    <t>Total points RE</t>
  </si>
  <si>
    <t>Total points SE</t>
  </si>
  <si>
    <t>Statement of Intent</t>
  </si>
  <si>
    <t>ID-Indicator</t>
  </si>
  <si>
    <t>AE1.1</t>
  </si>
  <si>
    <t>Good</t>
  </si>
  <si>
    <t>Better</t>
  </si>
  <si>
    <t>Best</t>
  </si>
  <si>
    <t>AE1.2</t>
  </si>
  <si>
    <t>AE2.2</t>
  </si>
  <si>
    <t>AE4.1</t>
  </si>
  <si>
    <t>AE4.2</t>
  </si>
  <si>
    <t>ES1.1</t>
  </si>
  <si>
    <t>ES1.2</t>
  </si>
  <si>
    <t>ES1.4</t>
  </si>
  <si>
    <t>ES1.5</t>
  </si>
  <si>
    <t>ES2.3</t>
  </si>
  <si>
    <t>ES2.8</t>
  </si>
  <si>
    <t>ES3.1</t>
  </si>
  <si>
    <t>ES4.1</t>
  </si>
  <si>
    <t>ES4.3</t>
  </si>
  <si>
    <t>EE1.1</t>
  </si>
  <si>
    <t>EE2.1</t>
  </si>
  <si>
    <t>EE3.1</t>
  </si>
  <si>
    <t>ES5.1</t>
  </si>
  <si>
    <t>ES7.1</t>
  </si>
  <si>
    <t>RE1.1</t>
  </si>
  <si>
    <t>RE2.1</t>
  </si>
  <si>
    <t>SE1.1</t>
  </si>
  <si>
    <t>SE1.2</t>
  </si>
  <si>
    <t>SE2.1</t>
  </si>
  <si>
    <t>SE2.2</t>
  </si>
  <si>
    <t>SE3.1</t>
  </si>
  <si>
    <t>RE3.2</t>
  </si>
  <si>
    <t>RE3.3</t>
  </si>
  <si>
    <t>RE3.4</t>
  </si>
  <si>
    <t>ES7 Points:</t>
  </si>
  <si>
    <t>SE2.5</t>
  </si>
  <si>
    <t>SE1 Points:</t>
  </si>
  <si>
    <t>SE1.4</t>
  </si>
  <si>
    <t>AE1.1 *</t>
  </si>
  <si>
    <t>AE1.2 *</t>
  </si>
  <si>
    <t>AE2.1 *</t>
  </si>
  <si>
    <t>AE2.2 *</t>
  </si>
  <si>
    <t>AE3.1 *</t>
  </si>
  <si>
    <t>AE4.2 *</t>
  </si>
  <si>
    <t>AE4.1 *</t>
  </si>
  <si>
    <t>EE1.1 *</t>
  </si>
  <si>
    <t>EE2.1 *</t>
  </si>
  <si>
    <t>EE3.1 *</t>
  </si>
  <si>
    <t>ES1.1 *</t>
  </si>
  <si>
    <t>ES1.2 *</t>
  </si>
  <si>
    <t>ES1.4 *</t>
  </si>
  <si>
    <t>ES1.5 *</t>
  </si>
  <si>
    <t>ES2.1 *</t>
  </si>
  <si>
    <t>ES2.4 *</t>
  </si>
  <si>
    <t>ES3.1 *</t>
  </si>
  <si>
    <t>ES3.2 *</t>
  </si>
  <si>
    <t>ES4.1 *</t>
  </si>
  <si>
    <t>ES4.2 *</t>
  </si>
  <si>
    <t>ES5.1 *</t>
  </si>
  <si>
    <t>ES5.2 *</t>
  </si>
  <si>
    <t>ES6.1 *</t>
  </si>
  <si>
    <t>ES7.1 *</t>
  </si>
  <si>
    <t>RE1.1 *</t>
  </si>
  <si>
    <t>RE2.1 *</t>
  </si>
  <si>
    <t>SE1.1 *</t>
  </si>
  <si>
    <t>SE1.2 *</t>
  </si>
  <si>
    <t>SE1.3 *</t>
  </si>
  <si>
    <t>SE2.1 *</t>
  </si>
  <si>
    <t>SE2.2 *</t>
  </si>
  <si>
    <t>SE2.3 *</t>
  </si>
  <si>
    <t>SE3.1 *</t>
  </si>
  <si>
    <t>AE3.2 *</t>
  </si>
  <si>
    <t>Maxpoints</t>
  </si>
  <si>
    <t>Answers AE4.1</t>
  </si>
  <si>
    <t>Answers EE1.1</t>
  </si>
  <si>
    <t>EE2 Points:</t>
  </si>
  <si>
    <t>Extra points</t>
  </si>
  <si>
    <t>Answers ES1.3</t>
  </si>
  <si>
    <t>Handicap</t>
  </si>
  <si>
    <t>handicap</t>
  </si>
  <si>
    <t>Answers ES1.6</t>
  </si>
  <si>
    <t>Answers ES1.7</t>
  </si>
  <si>
    <t>Answers ES2.1</t>
  </si>
  <si>
    <t>Answers ES2.2</t>
  </si>
  <si>
    <t>Answers ES2.3</t>
  </si>
  <si>
    <t>Answers ES2.4</t>
  </si>
  <si>
    <t>Answers ES2.5</t>
  </si>
  <si>
    <t>Answers ES2.6</t>
  </si>
  <si>
    <t>Answers ES2.8</t>
  </si>
  <si>
    <t>Answers ES3.3</t>
  </si>
  <si>
    <t>Answers ES4.1</t>
  </si>
  <si>
    <t>Answers ES4.2</t>
  </si>
  <si>
    <t>Total points ES</t>
  </si>
  <si>
    <t>Answers RE2.1</t>
  </si>
  <si>
    <t>Performance levels (Bonus percentage points)</t>
  </si>
  <si>
    <t>Answers SE1.2</t>
  </si>
  <si>
    <t>Location (bonus points)</t>
  </si>
  <si>
    <t>RE3 (bonus % points)</t>
  </si>
  <si>
    <t>Project stages</t>
  </si>
  <si>
    <t>Stage</t>
  </si>
  <si>
    <t>Achievement</t>
  </si>
  <si>
    <t>AE1</t>
  </si>
  <si>
    <t>AE2</t>
  </si>
  <si>
    <t>AE3</t>
  </si>
  <si>
    <t>AE4</t>
  </si>
  <si>
    <t>EE1</t>
  </si>
  <si>
    <t>EE2</t>
  </si>
  <si>
    <t>EE3</t>
  </si>
  <si>
    <t>EE4</t>
  </si>
  <si>
    <t>ES1</t>
  </si>
  <si>
    <t>ES2</t>
  </si>
  <si>
    <t>ES3</t>
  </si>
  <si>
    <t>ES4</t>
  </si>
  <si>
    <t>ES5</t>
  </si>
  <si>
    <t>ES6</t>
  </si>
  <si>
    <t>ES7</t>
  </si>
  <si>
    <t>RE1</t>
  </si>
  <si>
    <t>RE2</t>
  </si>
  <si>
    <t>RE3</t>
  </si>
  <si>
    <t>SE1</t>
  </si>
  <si>
    <t>SE2</t>
  </si>
  <si>
    <t>SE3</t>
  </si>
  <si>
    <t>SE4</t>
  </si>
  <si>
    <t>Strengths</t>
  </si>
  <si>
    <t>Improvements</t>
  </si>
  <si>
    <t>Bonus:</t>
  </si>
  <si>
    <t>ES3 Points:</t>
  </si>
  <si>
    <t>Stat.Intent (bonus points)</t>
  </si>
  <si>
    <t>Нет</t>
  </si>
  <si>
    <t>Доступ и равенство</t>
  </si>
  <si>
    <t>Ямайка</t>
  </si>
  <si>
    <t>Направления совершенствования:</t>
  </si>
  <si>
    <t>Да (надлежащая практика)</t>
  </si>
  <si>
    <t>Да (более оптимальная практика)</t>
  </si>
  <si>
    <t>Да (наилучшая практика)</t>
  </si>
  <si>
    <t>Надлежащая практика</t>
  </si>
  <si>
    <t>Более оптимальная практика</t>
  </si>
  <si>
    <t>Наилучшая практика</t>
  </si>
  <si>
    <t>Да</t>
  </si>
  <si>
    <t>Идентификация</t>
  </si>
  <si>
    <t>Разработка</t>
  </si>
  <si>
    <t>Реализация</t>
  </si>
  <si>
    <t>Н/П</t>
  </si>
  <si>
    <t>Контрольный показатель</t>
  </si>
  <si>
    <t>Ответ</t>
  </si>
  <si>
    <t>Взаимодействие с заинтересованными сторонами</t>
  </si>
  <si>
    <t>Категории</t>
  </si>
  <si>
    <t>Общие результаты</t>
  </si>
  <si>
    <t>Процент</t>
  </si>
  <si>
    <t>Комментарии</t>
  </si>
  <si>
    <t>Сильные стороны:</t>
  </si>
  <si>
    <t>На основе представленных ответов вашему проекту присваивается следующая балльная оценка:</t>
  </si>
  <si>
    <t>Индикаторы</t>
  </si>
  <si>
    <t>Афганистан</t>
  </si>
  <si>
    <t>Албания</t>
  </si>
  <si>
    <t>Алжир</t>
  </si>
  <si>
    <t>Андорра</t>
  </si>
  <si>
    <t>Прочие</t>
  </si>
  <si>
    <t>Зимбабве</t>
  </si>
  <si>
    <t>Замбия</t>
  </si>
  <si>
    <t>Йемен</t>
  </si>
  <si>
    <t>Вьетнам</t>
  </si>
  <si>
    <t>Боливарианская Республика Венесуэла</t>
  </si>
  <si>
    <t>Вануату</t>
  </si>
  <si>
    <t>Узбекистан</t>
  </si>
  <si>
    <t>Уругвай</t>
  </si>
  <si>
    <t>Соединенные Штаты Америки</t>
  </si>
  <si>
    <t>Украина</t>
  </si>
  <si>
    <t>Объединенные Арабские Эмираты</t>
  </si>
  <si>
    <t>Соединенное Королевство Великобритании и Северной Ирландии</t>
  </si>
  <si>
    <t>Уганда</t>
  </si>
  <si>
    <t>Руанда</t>
  </si>
  <si>
    <t>НРС</t>
  </si>
  <si>
    <t>Мир</t>
  </si>
  <si>
    <t>Ангола</t>
  </si>
  <si>
    <t>Бангладеш</t>
  </si>
  <si>
    <t>Бенин</t>
  </si>
  <si>
    <t>Бутан</t>
  </si>
  <si>
    <t>Монголия</t>
  </si>
  <si>
    <t>Черногория</t>
  </si>
  <si>
    <t>Панама</t>
  </si>
  <si>
    <t>Антигуа и Барбуда</t>
  </si>
  <si>
    <t>Аргентина</t>
  </si>
  <si>
    <t>Армения</t>
  </si>
  <si>
    <t>Австралия</t>
  </si>
  <si>
    <t>ОЭСР</t>
  </si>
  <si>
    <t>Австрия</t>
  </si>
  <si>
    <t>Багамские острова</t>
  </si>
  <si>
    <t>Бахрейн</t>
  </si>
  <si>
    <t>Тувалу</t>
  </si>
  <si>
    <t>Туркменистан</t>
  </si>
  <si>
    <t>Турция</t>
  </si>
  <si>
    <t>Тунис</t>
  </si>
  <si>
    <t>Тринидад и Тобаго</t>
  </si>
  <si>
    <t>Тонга</t>
  </si>
  <si>
    <t>Того</t>
  </si>
  <si>
    <t>Тимор-Леште</t>
  </si>
  <si>
    <t>Таиланд</t>
  </si>
  <si>
    <t>Объединенная Республика Танзания</t>
  </si>
  <si>
    <t>Таджикистан</t>
  </si>
  <si>
    <t>Швейцария</t>
  </si>
  <si>
    <t>Швеция</t>
  </si>
  <si>
    <t>Суринам</t>
  </si>
  <si>
    <t>Сирийская Арабская Республика</t>
  </si>
  <si>
    <t>Судан</t>
  </si>
  <si>
    <t>Шри-Ланка</t>
  </si>
  <si>
    <t>Испания</t>
  </si>
  <si>
    <t>Южный Судан</t>
  </si>
  <si>
    <t>Южная Африка</t>
  </si>
  <si>
    <t>Сомали</t>
  </si>
  <si>
    <t>Соломоновы Острова</t>
  </si>
  <si>
    <t>Словения</t>
  </si>
  <si>
    <t>Словакия</t>
  </si>
  <si>
    <t>Сингапур</t>
  </si>
  <si>
    <t>Сьерра-Леоне</t>
  </si>
  <si>
    <t>Сербия</t>
  </si>
  <si>
    <t>Сейшельские Острова</t>
  </si>
  <si>
    <t>Сенегал</t>
  </si>
  <si>
    <t>Саудовская Аравия</t>
  </si>
  <si>
    <t>Сан-Томе и Принсипи</t>
  </si>
  <si>
    <t>Сан-Марино</t>
  </si>
  <si>
    <t>Самоа</t>
  </si>
  <si>
    <t>Сент-Винсент и Гренадины</t>
  </si>
  <si>
    <t>Сент-Люсия</t>
  </si>
  <si>
    <t>Российская Федерация</t>
  </si>
  <si>
    <t>Румыния</t>
  </si>
  <si>
    <t>Катар</t>
  </si>
  <si>
    <t>Португалия</t>
  </si>
  <si>
    <t>Сент-Китс и Невис</t>
  </si>
  <si>
    <t>Палау</t>
  </si>
  <si>
    <t>Пакистан</t>
  </si>
  <si>
    <t>Норвегия</t>
  </si>
  <si>
    <t>Оман</t>
  </si>
  <si>
    <t>Северная Македония</t>
  </si>
  <si>
    <t>Нигерия</t>
  </si>
  <si>
    <t>Нигер</t>
  </si>
  <si>
    <t>Никарагуа</t>
  </si>
  <si>
    <t>Новая Зеландия</t>
  </si>
  <si>
    <t>Нидерланды</t>
  </si>
  <si>
    <t>Непал</t>
  </si>
  <si>
    <t>Науру</t>
  </si>
  <si>
    <t>Намибия</t>
  </si>
  <si>
    <t>Мозамбик</t>
  </si>
  <si>
    <t>Мьянма</t>
  </si>
  <si>
    <t>Монако</t>
  </si>
  <si>
    <t>Республика Молдова</t>
  </si>
  <si>
    <t>Федеративные Штаты Микронезии</t>
  </si>
  <si>
    <t>Мексика</t>
  </si>
  <si>
    <t>Мавритания</t>
  </si>
  <si>
    <t>Маврикий</t>
  </si>
  <si>
    <t>Мали</t>
  </si>
  <si>
    <t>Мальта</t>
  </si>
  <si>
    <t>Маршалловы Острова</t>
  </si>
  <si>
    <t>Мальдивы</t>
  </si>
  <si>
    <t>Литва</t>
  </si>
  <si>
    <t>Люксембург</t>
  </si>
  <si>
    <t>Мадагаскар</t>
  </si>
  <si>
    <t>Малави</t>
  </si>
  <si>
    <t>Малайзия</t>
  </si>
  <si>
    <t>Лихтенштейн</t>
  </si>
  <si>
    <t>Либерия</t>
  </si>
  <si>
    <t>Лесото</t>
  </si>
  <si>
    <t>Ливан</t>
  </si>
  <si>
    <t>Латвия</t>
  </si>
  <si>
    <t>Кыргызстан</t>
  </si>
  <si>
    <t>Лаосская Народно-Демократическая Республика</t>
  </si>
  <si>
    <t>Казахстан</t>
  </si>
  <si>
    <t>Кения</t>
  </si>
  <si>
    <t>Иордания</t>
  </si>
  <si>
    <t>Кирибати</t>
  </si>
  <si>
    <t>Корейская Народно-Демократическая Республика</t>
  </si>
  <si>
    <t>Республика Корея</t>
  </si>
  <si>
    <t>Кувейт</t>
  </si>
  <si>
    <t>Италия</t>
  </si>
  <si>
    <t>Япония</t>
  </si>
  <si>
    <t>Израиль</t>
  </si>
  <si>
    <t>Ирландия</t>
  </si>
  <si>
    <t>Ирак</t>
  </si>
  <si>
    <t>Гондурас</t>
  </si>
  <si>
    <t>Гонконг</t>
  </si>
  <si>
    <t>Венгрия</t>
  </si>
  <si>
    <t>Исландия</t>
  </si>
  <si>
    <t>Индия</t>
  </si>
  <si>
    <t>Индонезия</t>
  </si>
  <si>
    <t>Исламская Республика Иран</t>
  </si>
  <si>
    <t>Гвинея</t>
  </si>
  <si>
    <t>Гвинея-Бисау</t>
  </si>
  <si>
    <t>Гаити</t>
  </si>
  <si>
    <t>Гайана</t>
  </si>
  <si>
    <t>Фиджи</t>
  </si>
  <si>
    <t>Финляндия</t>
  </si>
  <si>
    <t>Франция</t>
  </si>
  <si>
    <t>Габон</t>
  </si>
  <si>
    <t>Республика Гамбия</t>
  </si>
  <si>
    <t>Грузия</t>
  </si>
  <si>
    <t>Германия</t>
  </si>
  <si>
    <t>Гана</t>
  </si>
  <si>
    <t>Греция</t>
  </si>
  <si>
    <t>Гренада</t>
  </si>
  <si>
    <t>Гватемала</t>
  </si>
  <si>
    <t>Эфиопия</t>
  </si>
  <si>
    <t>Эсватини</t>
  </si>
  <si>
    <t>Эстония</t>
  </si>
  <si>
    <t>Эритрея</t>
  </si>
  <si>
    <t>Кипр</t>
  </si>
  <si>
    <t>Куба</t>
  </si>
  <si>
    <t>Чешская Республика</t>
  </si>
  <si>
    <t>Дания</t>
  </si>
  <si>
    <t>Эквадор</t>
  </si>
  <si>
    <t>Египет</t>
  </si>
  <si>
    <t>Эль-Сальвадор</t>
  </si>
  <si>
    <t>Джибути</t>
  </si>
  <si>
    <t>Доминика</t>
  </si>
  <si>
    <t>Доминиканская Республика</t>
  </si>
  <si>
    <t>Хорватия</t>
  </si>
  <si>
    <t>Китай</t>
  </si>
  <si>
    <t>Колумбия</t>
  </si>
  <si>
    <t>Конго</t>
  </si>
  <si>
    <t>Коста-Рика</t>
  </si>
  <si>
    <t>Кот-д'Ивуар</t>
  </si>
  <si>
    <t>Демократическая Республика Конго</t>
  </si>
  <si>
    <t>Чили</t>
  </si>
  <si>
    <t>Канада</t>
  </si>
  <si>
    <t>Камерун</t>
  </si>
  <si>
    <t>Чад</t>
  </si>
  <si>
    <t>Коморские острова</t>
  </si>
  <si>
    <t>Центральноафриканская Республика</t>
  </si>
  <si>
    <t>Камбоджа</t>
  </si>
  <si>
    <t>Кабо-Верде</t>
  </si>
  <si>
    <t>Бразилия</t>
  </si>
  <si>
    <t>Бруней-Даруссалам</t>
  </si>
  <si>
    <t>Болгария</t>
  </si>
  <si>
    <t>Буркина-Фасо</t>
  </si>
  <si>
    <t>Бурунди</t>
  </si>
  <si>
    <t>Ботсвана</t>
  </si>
  <si>
    <t>Босния и Герцеговина</t>
  </si>
  <si>
    <t>Многонациональное Государство Боливия</t>
  </si>
  <si>
    <t>Белиз</t>
  </si>
  <si>
    <t>Бельгия</t>
  </si>
  <si>
    <t>Беларусь</t>
  </si>
  <si>
    <t>Барбадос</t>
  </si>
  <si>
    <t>Азербайджан</t>
  </si>
  <si>
    <t>Ливия</t>
  </si>
  <si>
    <t>Марокко</t>
  </si>
  <si>
    <t>Папуа-Новая Гвинея</t>
  </si>
  <si>
    <t>Парагвай</t>
  </si>
  <si>
    <t>Перу</t>
  </si>
  <si>
    <t>Польша</t>
  </si>
  <si>
    <t>Филиппины</t>
  </si>
  <si>
    <t>Экваториальная Гвинея</t>
  </si>
  <si>
    <t>Цель</t>
  </si>
  <si>
    <t>Применимость</t>
  </si>
  <si>
    <t>Создан ли в рамках ГЧП независимый надзорный комитет, отвечающий за контроль и мониторинг в отношении эффективности процесса взаимодействия с заинтересованными сторонами и обеспечения участия общественности, а также за публикацию и распространение информации о проекте?</t>
  </si>
  <si>
    <t>Установлены ли показатели взаимодействия с заинтересованными сторонами и участия общественности  для измерения эффективности и инклюзивности процесса взаимодействия с заинтересованными сторонами и участия общественности, а также для измерения конкретных результатов, достигнутых по итогам этого процесса?</t>
  </si>
  <si>
    <t>Был ли разработан для ГЧП план взаимодействия с заинтересованными сторонами (включая участие общественности), учитывающий специфические потребности каждой из заинтересованных сторон  и принимающий во внимание широкий спектр проектных вопросов, требующих решения?</t>
  </si>
  <si>
    <t xml:space="preserve">Проводились ли в рамках ГЧП мероприятия по выяснению круга заинтересованных сторон  для определения всех заинтересованных сторон, прямо или косвенно затронутых проектом и/или заинтересованных в нем? </t>
  </si>
  <si>
    <t>SE1. ПЛАН ВЗАИМОДЕЙСТВИЯ С ЗАИНТЕРЕСОВАННЫМИ СТОРОНАМИ И ОБЕСПЕЧЕНИЯ УЧАСТИЯ ОБЩЕСТВЕННОСТИ</t>
  </si>
  <si>
    <t>ПЛАН ВЗАИМОДЕЙСТВИЯ С ЗАИНТЕРЕСОВАННЫМИ СТОРОНАМИ И ОБЕСПЕЧЕНИЯ УЧАСТИЯ ОБЩЕСТВЕННОСТИ</t>
  </si>
  <si>
    <t>Выявить заинтересованные стороны и план взаимодействия с заинтересованными сторонами и обеспечения участия общественности на протяжении всего срока действия проекта.</t>
  </si>
  <si>
    <t>Да, полноценный / детальный</t>
  </si>
  <si>
    <t>Да, базовый</t>
  </si>
  <si>
    <t>Уровень эффективности SE1:</t>
  </si>
  <si>
    <t>Уровень эффективности SE2:</t>
  </si>
  <si>
    <t>Уровень эффективности SE3:</t>
  </si>
  <si>
    <t>Уровень эффективности SE4:</t>
  </si>
  <si>
    <t>Уровень эффективности RE3:</t>
  </si>
  <si>
    <t>Уровень эффективности RE2:</t>
  </si>
  <si>
    <t>Уровень эффективности RE1:</t>
  </si>
  <si>
    <t>Уровень эффективности ES7:</t>
  </si>
  <si>
    <t>Уровень эффективности ES6:</t>
  </si>
  <si>
    <t>Уровень эффективности ES5:</t>
  </si>
  <si>
    <t>Уровень эффективности ES4:</t>
  </si>
  <si>
    <t>Уровень эффективности ES3:</t>
  </si>
  <si>
    <t>Уровень эффективности ES2 (восстановление деградировавших земель):</t>
  </si>
  <si>
    <t>Уровень эффективности ES2 (образование и удаление твердых отходов):</t>
  </si>
  <si>
    <t>Уровень эффективности ES2 (процесс экономики замкнутого цикла):</t>
  </si>
  <si>
    <t>Уровень эффективности ES1 (энергоэффективность):</t>
  </si>
  <si>
    <t>Уровень эффективности EE4:</t>
  </si>
  <si>
    <t>Уровень эффективности EE3:</t>
  </si>
  <si>
    <t>Уровень эффективности EE2:</t>
  </si>
  <si>
    <t>Уровень эффективности EE1:</t>
  </si>
  <si>
    <t>Уровень эффективности AE1:</t>
  </si>
  <si>
    <t>Уровень эффективности AE2:</t>
  </si>
  <si>
    <t>Уровень эффективности AE3:</t>
  </si>
  <si>
    <t>Уровень эффективности AE4:</t>
  </si>
  <si>
    <t>(* обязательный)</t>
  </si>
  <si>
    <t>SE2. ОБЕСПЕЧЕНИЕ МАКСИМАЛЬНОГО ВЗАИМОДЕЙСТВИЯ С ЗАИНТЕРЕСОВАННЫМИ СТОРОНАМИ И УЧАСТИЯ ОБЩЕСТВЕННОСТИ</t>
  </si>
  <si>
    <t>ОБЕСПЕЧЕНИЕ МАКСИМАЛЬНОГО ВЗАИМОДЕЙСТВИЯ С ЗАИНТЕРЕСОВАННЫМИ СТОРОНАМИ И УЧАСТИЯ ОБЩЕСТВЕННОСТИ</t>
  </si>
  <si>
    <t xml:space="preserve">Обеспечить устойчивое взаимодействие с заинтересованными сторонами и участие общественности на ранних этапах, а также участие в принятии решений по проекту. </t>
  </si>
  <si>
    <t>Были ли запрошены мнения заинтересованных сторон относительно их удовлетворенности процессом(ами) взаимодействия с ними и обеспечения участия общественности и итоговыми решениями, основанными на их отзывах?</t>
  </si>
  <si>
    <t>Были ли социальные, культурные, экономические и/или экологические выгоды, полученные в результате осуществления ГЧП и процесса взаимодействия с заинтересованными сторонами и обеспечения участия общественности, переданы в распоряжение общины?</t>
  </si>
  <si>
    <t>Учитывались ли отзывы заинтересованных сторон  в проектных планах, схемах и процессах и/или влияли ли такие отзывы на процесс принятия решений, и было ли обеспечено справедливое и беспристрастное рассмотрение отзывов заинтересованных сторон в соответствии с принципами социальной и экологической справедливости?</t>
  </si>
  <si>
    <t xml:space="preserve">Имеют ли представители общественности, в том числе защитники окружающей среды, возможность свободно выражать свои взгляды и участвовать в соответствующих процессах, не опасаясь наказания, преследований или притеснений за свою причастность к этой деятельности? </t>
  </si>
  <si>
    <t>Осуществлялся(лись) ли в рамках ГЧП эффективный(е), своевременный(е) и всеохватывающий(е) план(ы) взаимодействия с заинтересованными сторонами и обеспечения участия общественности на протяжении всего срока реализации проекта?</t>
  </si>
  <si>
    <t>SE3. ПРЕДОСТАВЛЕНИЕ ТРАНСПАРЕНТНОЙ И КАЧЕСТВЕННОЙ ИНФОРМАЦИИ О ПРОЕКТЕ</t>
  </si>
  <si>
    <t>ПРЕДОСТАВЛЕНИЕ ТРАНСПАРЕНТНОЙ И КАЧЕСТВЕННОЙ ИНФОРМАЦИИ О ПРОЕКТЕ</t>
  </si>
  <si>
    <t xml:space="preserve">Предоставлять транспарентную, своевременную, понятную, доступную и качественную информацию о ГЧП на протяжении всего жизненного цикла проекта. </t>
  </si>
  <si>
    <t>Легко ли доступна всем заинтересованным сторонам, включая представителей общественности, качественная и актуальная информация о проекте, касающаяся результатов, ориентированных на обеспечение блага людей, и предоставляется ли она транспарентным, своевременным, понятным и доступным образом?</t>
  </si>
  <si>
    <t>Публиковались ли регулярные отчеты об итогах встреч, посвященных взаимодействию с заинтересованными сторонами, и доступны ли они для всех заинтересованных сторон, включая представителей общественности?</t>
  </si>
  <si>
    <t xml:space="preserve">Проверялись ли с помощью независимого источника подлинность, точность и достоверность фактов и информации, представленных ГЧП? </t>
  </si>
  <si>
    <t>SE4. ЭФФЕКТИВНОЕ РАССМОТРЕНИЕ ЖАЛОБ НАСЕЛЕНИЯ И ОТЗЫВОВ КОНЕЧНЫХ ПОЛЬЗОВАТЕЛЕЙ</t>
  </si>
  <si>
    <t>ЭФФЕКТИВНОЕ РАССМОТРЕНИЕ ЖАЛОБ НАСЕЛЕНИЯ И ОТЗЫВОВ КОНЕЧНЫХ ПОЛЬЗОВАТЕЛЕЙ</t>
  </si>
  <si>
    <t>Повышать удовлетворенность общественности и конечных пользователей проектом путем внедрения механизма рассмотрения жалоб населения и отзывов конечных пользователей.</t>
  </si>
  <si>
    <t>Хотя в этот контрольный показатель не включены обязательные индикаторы, все ГЧП на благо людей должны иметь процесс рассмотрения жалоб населения и отзывов конечных пользователей/клиентов, и поэтому им рекомендуется принимать меры для соответствия индикаторам, необходимым для достижения уровня эффективности «надлежащей практики», и рекомендуется по мере возможности переходить к достижению уровней эффективности «более оптимальной практики» и «наилучшей практики» путем принятия мер для соответствия всем индикаторам, включенным в этот контрольный показатель.</t>
  </si>
  <si>
    <t>Были ли разработаны ли в рамках ГЧП процесс и механизмы эффективного рассмотрения жалоб населения и отзывов конечных пользователей/клиентов?</t>
  </si>
  <si>
    <t>Эффективно ли в рамках ГЧП рассматривались и/или урегулировались жалобы населения и отзывы конечных пользователей/клиентов?</t>
  </si>
  <si>
    <t>Легко ли доступны жалобы населения и отзывы конечных пользователей/клиентов, включая конечные результаты, для ознакомления в транспарентной форме?</t>
  </si>
  <si>
    <t>Общий балл*</t>
  </si>
  <si>
    <t>Примечание: ЕЭК ООН не несет ответственности за использование балльной оценки, присвоенной данным инструментом. Балльная оценка представляет собой лишь информацию о соответствии проекта результатам ГЧП на благо людей и Целям в области устойчивого развития и основана на ответах, предоставленных пользователем.</t>
  </si>
  <si>
    <t>Тиражируемость</t>
  </si>
  <si>
    <t>Нажмите на контрольный показатель, чтобы открыть его</t>
  </si>
  <si>
    <t>RE1. ПООЩРЕНИЕ ТИРАЖИРУЕМОСТИ И МАСШТАБИРУЕМОСТИ</t>
  </si>
  <si>
    <t>ПООЩРЕНИЕ ТИРАЖИРУЕМОСТИ И МАСШТАБИРУЕМОСТИ</t>
  </si>
  <si>
    <t xml:space="preserve">Была ли проведена в рамках ГЧП оценка возможностей тиражируемости и/или масштабируемости? </t>
  </si>
  <si>
    <t>Все ГЧП на благо людей должны предоставлять транспарентную, своевременную, доступную, понятную и качественную информацию о ГЧП на протяжении всего жизненного цикла проекта, поэтому все проекты, стремящиеся быть признанными ГЧП на благо людей, должны соответствовать обязательным индикаторам, которые включены в данный контрольный показатель, и им рекомендуется двигаться по мере возможности к соответствию всем индикаторам, включенным в данный контрольный показатель.</t>
  </si>
  <si>
    <t>Данный контрольный показатель применим ко всем ГЧП, поэтому все проекты, стремящиеся быть признанными ГЧП на благо людей, должны соответствовать обязательным индикаторам (отмеченным *), которые включены в данный контрольный показатель и необходимы для достижения уровня эффективности «надлежащей практики», и поощряется их продвижение к достижению уровней эффективности «более оптимальной практики» и «наилучшей практики» за счет соответствия по мере возможности всем индикаторам, включенным в данный контрольный показатель.</t>
  </si>
  <si>
    <t>Все ГЧП на благо людей должны искать способы тиражирования и/или масштабирования идей, концепций и проектов, которые оказались успешными в других местах, и/или делиться знаниями таким образом, чтобы их можно было тиражировать и масштабировать в другом месте. Проектам, стремящимся быть признанными ГЧП на благо людей, настоятельно рекомендуется принять меры для соответствия всем индикаторам (отмеченным *), которые включены в данный контрольный показатель и необходимы для достижения уровня эффективности «надлежащей практики», и поощряется их продвижение к достижению уровней эффективности «более оптимальной практики» и «наилучшей практики» за счет соответствия по мере возможности всем индикаторам, включенным в данный контрольный показатель.</t>
  </si>
  <si>
    <t>Оценить тиражируемость и масштабируемость проекта для увеличения числа обслуживаемых лиц, числа успешных ГЧП во всем мире и повышения экономии за счет эффекта масштаба.</t>
  </si>
  <si>
    <t>Обладает ли проект свойствами тиражируемости и/или масштабируемости, обеспечивающими потенциальную экономию за счет масштаба и предоставляющими более широкие выгоды для всей экономики?</t>
  </si>
  <si>
    <t>Была ли проведена оценка потенциального воздействия на окружающую среду, связанного с возможностью тиражируемости и/или масштабируемости проекта?</t>
  </si>
  <si>
    <t>Была ли проведена оценка потенциального социального воздействия, связанного с возможностью тиражируемости и/или масштабируемости проекта?</t>
  </si>
  <si>
    <t>Позволяет ли проект увеличивать доходы и/или сокращать расходы на протяжении всего срока его реализации за счет оптимизированного эксплуатационного планирования, эффективного использования ресурсов, надлежащей коммерциализации и/или применения инновационной бизнес-модели?</t>
  </si>
  <si>
    <t>RE2. УКРЕПЛЕНИЕ ПОТЕНЦИАЛА ПРАВИТЕЛЬСТВ, ПРОМЫШЛЕННОСТИ И ОБЩИН</t>
  </si>
  <si>
    <t>УКРЕПЛЕНИЕ ПОТЕНЦИАЛА ПРАВИТЕЛЬСТВ, ПРОМЫШЛЕННОСТИ И ОБЩИН</t>
  </si>
  <si>
    <t>RE3. ПОДДЕРЖКА ИННОВАЦИЙ И ПЕРЕДАЧИ ТЕХНОЛОГИЙ</t>
  </si>
  <si>
    <t>ПОДДЕРЖКА ИННОВАЦИЙ И ПЕРЕДАЧИ ТЕХНОЛОГИЙ</t>
  </si>
  <si>
    <t>Увеличивает ли ГЧП потенциал местной общины?</t>
  </si>
  <si>
    <t>Увеличивает ли ГЧП потенциал правительства  и/или проекта/ промышленности?</t>
  </si>
  <si>
    <t>Обеспечить, чтобы, помимо количественных экономических выгод, проект, правительство и местная община получили выгоды от передачи проверенных технологий, навыков и/или знаний/ноу-хау в результате ГЧП.</t>
  </si>
  <si>
    <t>Поскольку ГЧП, как правило, предполагают передачу технологий, навыков или других знаний/ноу-хау, которые способствуют укреплению потенциала правительства, проектов/промышленности и/или общин и ведут к повышению эффективности и потенциала всех партнеров и заинтересованных сторон, данный контрольный показатель применим ко всем ГЧП. Проектам, стремящимся быть признанными ГЧП на благо людей, настоятельно рекомендуется принять меры для соответствия всем индикаторам (отмеченным *), которые включены в данный контрольный показатель и необходимы для достижения уровня эффективности «надлежащей практики», и поощряется их продвижение к достижению уровней эффективности «более оптимальной практики» и «наилучшей практики» за счет соответствия по мере возможности всем индикаторам, включенным в данный контрольный показатель.</t>
  </si>
  <si>
    <t>Осуществляется ли в рамках проекта один или несколько инновационных методов, технологий или процессов, которые устраняют или существенно сокращают значительные проблемы, барьеры или ограничения и/или позволяют найти масштабируемые и тиражируемые решения?</t>
  </si>
  <si>
    <t xml:space="preserve">Предусматривается ли в рамках ГЧП возможность для передачи технологий, способствующих инклюзивному росту, устойчивости и тиражируемости? </t>
  </si>
  <si>
    <t>Преследовал ли проект или намерен ли он преследовать цель добиваться признания, итогом которого стало или станет признание  вклада проекта в обеспечение устойчивости и жизнестойкости?</t>
  </si>
  <si>
    <t>Были ли изысканы или реализованы какие-либо другие возможности, связанные с ГЧП , для повышения потенциала и эффективности и действенности усилий государственного и частного сектора и/или местной общины?</t>
  </si>
  <si>
    <t>Признавать и вознаграждать проекты, которые внедряют инновационные методы, технологии или процессы; и/или включают передачу технологии; и/или могут использовать другие возможности для более широкого повышения потенциала, эффективности и результативности; и/или привлекают третью сторону для проверки достижений в области устойчивости и жизнестойкости.</t>
  </si>
  <si>
    <r>
      <rPr>
        <u/>
        <sz val="11"/>
        <color theme="1"/>
        <rFont val="Calibri"/>
        <family val="2"/>
        <scheme val="minor"/>
      </rPr>
      <t>Данный контрольный показатель может быть неактуален или неприменим ко всем проектам ГЧП</t>
    </r>
    <r>
      <rPr>
        <sz val="11"/>
        <color theme="1"/>
        <rFont val="Calibri"/>
        <family val="2"/>
        <scheme val="minor"/>
      </rPr>
      <t xml:space="preserve">. В таких случаях проекты не должны наказываться за то, что они не следуют этому контрольному показателю. Баллы, связанные с данным контрольным показателем, предполагают свободу усмотрения и представляют собой </t>
    </r>
    <r>
      <rPr>
        <u/>
        <sz val="11"/>
        <color theme="1"/>
        <rFont val="Calibri"/>
        <family val="2"/>
        <scheme val="minor"/>
      </rPr>
      <t>«бонусные процентные баллы»,</t>
    </r>
    <r>
      <rPr>
        <sz val="11"/>
        <color theme="1"/>
        <rFont val="Calibri"/>
        <family val="2"/>
        <scheme val="minor"/>
      </rPr>
      <t xml:space="preserve"> которые добавляются к совокупной общей балльной оценке. </t>
    </r>
  </si>
  <si>
    <t>Инструмент самооценки ГЧП на благо людей</t>
  </si>
  <si>
    <t>Разработанный ЕЭК ООН инструмент самооценки ГЧП на благо людей позволяет оценить соответствие инфраструктурного проекта результатам на благо людей и ЦУР</t>
  </si>
  <si>
    <t>Вводные вопросы:</t>
  </si>
  <si>
    <t>Просьба указать этап проекта</t>
  </si>
  <si>
    <t>*Общий балл корректируется на основе ответов на вводные вопросы</t>
  </si>
  <si>
    <t>Местоположение инвестиций</t>
  </si>
  <si>
    <t>Просьба указать страну, в которой находится проект</t>
  </si>
  <si>
    <t>Просьба указать экологические условия, в которых реализуется проект</t>
  </si>
  <si>
    <t>Этап проекта</t>
  </si>
  <si>
    <t>Экологические условия</t>
  </si>
  <si>
    <t>Поддающиеся проверке и измерению данные</t>
  </si>
  <si>
    <t>Заявление о намерениях</t>
  </si>
  <si>
    <t>Опубликовал ли проект заявление о намерениях?</t>
  </si>
  <si>
    <t>Информация по проекту:</t>
  </si>
  <si>
    <t>Наименование проекта</t>
  </si>
  <si>
    <t>Экологически охраняемая природная территория</t>
  </si>
  <si>
    <t>Все прочие экологически неопределенные территории</t>
  </si>
  <si>
    <t>Очаг биоразнообразия</t>
  </si>
  <si>
    <t>Поддаются ли данные и информация, которые вы предоставляете, проверке и измерению?</t>
  </si>
  <si>
    <t>Стоимость проекта (долл. США)</t>
  </si>
  <si>
    <t>Описание / обзор проекта</t>
  </si>
  <si>
    <t>Контактное (ые) лицо (а) по проекту</t>
  </si>
  <si>
    <t>Свидетельства воздействия проекта (как проект влияет или планирует повлиять на жизни людей)</t>
  </si>
  <si>
    <t>Да, детальная</t>
  </si>
  <si>
    <t>Да, базовая</t>
  </si>
  <si>
    <t>Да, детальный</t>
  </si>
  <si>
    <t>Да, на 15% или более</t>
  </si>
  <si>
    <t>Да, не менее чем на 5%</t>
  </si>
  <si>
    <t>Да, до 50%</t>
  </si>
  <si>
    <t>Да, более чем на 50% и до 100%</t>
  </si>
  <si>
    <t>Да, более 15%</t>
  </si>
  <si>
    <t>Да, до 15%</t>
  </si>
  <si>
    <t>Да, детальный/ комплексный</t>
  </si>
  <si>
    <t>Да и снизилась интенсивность использования сырья</t>
  </si>
  <si>
    <t>Да, действительно проект экономики замкнутого цикла</t>
  </si>
  <si>
    <t>Да, один или более процессов экономики замкнутого цикла</t>
  </si>
  <si>
    <t>Да, комплексно</t>
  </si>
  <si>
    <t>Да, на базовом уровне или предварительно</t>
  </si>
  <si>
    <t>Да, в общем</t>
  </si>
  <si>
    <t>Да, точно</t>
  </si>
  <si>
    <t>Да, тщательно и комплексно оценены</t>
  </si>
  <si>
    <t>Да, оценены на базовом уровне</t>
  </si>
  <si>
    <t>AE1. ПРЕДОСТАВЛЕНИЕ ОСНОВНЫХ УСЛУГ</t>
  </si>
  <si>
    <t>ПРЕДОСТАВЛЕНИЕ ОСНОВНЫХ УСЛУГ</t>
  </si>
  <si>
    <t>Были ли в рамках проекта определены и приняты во внимание потребности, цели и проблемы общин, которые он призван обслуживать?</t>
  </si>
  <si>
    <t xml:space="preserve">Позволяет ли проект прямо или косвенно предоставлять основные услуги  людям, которые ранее не имели доступа к таким услугам, и/или прямо или косвенно расширить или поддерживать доступ к основным услугам? </t>
  </si>
  <si>
    <t xml:space="preserve">Была ли проведена оценка воздействия проекта на существующие основные услуги? </t>
  </si>
  <si>
    <t xml:space="preserve">Позволил ли проект предотвратить/устранить, смягчить и/или компенсировать воздействие на существующие основные услуги? </t>
  </si>
  <si>
    <t>Имеются ли доказательства того, что жизнь заинтересованных сторон изменилась в результате осуществления проекта, призванного обеспечить новый или более совершенный доступ к основным услугам?</t>
  </si>
  <si>
    <t>Обеспечить новый или более совершенный доступ к основным услугам для лиц, которые ранее не имели доступа к таким услугам (или которые не имели достаточного доступа к таким услугам).</t>
  </si>
  <si>
    <t>AE2. ПОВЫШЕНИЕ УРОВНЯ ЦЕНОВОЙ ПРИЕМЛЕМОСТИ И РАСШИРЕНИЕ ВСЕОБЩЕГО ДОСТУПА</t>
  </si>
  <si>
    <t>ПОВЫШЕНИЕ УРОВНЯ ЦЕНОВОЙ ПРИЕМЛЕМОСТИ И РАСШИРЕНИЕ ВСЕОБЩЕГО ДОСТУПА</t>
  </si>
  <si>
    <t>Были ли в рамках проекта четко определены и удовлетворены потребности общин, которые он призван обслуживать, в отношении ценовой приемлемости таким образом, чтобы услуги, предоставляемые в рамках проекта, были вполне приемлемыми по цене для всех пользователей, включая наиболее уязвимых и обездоленных?</t>
  </si>
  <si>
    <t>Были ли в рамках проекта четко определены и удовлетворены потребности общин, которые он призван обслуживать, в отношении доступности таким образом, чтобы услуги, предоставляемые в рамках проекта, были вполне доступными для всех пользователей, включая наиболее уязвимых и обездоленных?</t>
  </si>
  <si>
    <t xml:space="preserve">Были ли установлены общие и целевые показатели как для номинального, так и для эффективного доступа к проекту? </t>
  </si>
  <si>
    <t>Существуют ли планы мониторинга текущей эффективности мер по обеспечению ценовой приемлемости и/или доступности, осуществляемых в рамках проекта?</t>
  </si>
  <si>
    <t>AE3. ПОВЫШЕНИЕ УРОВНЯ РАВЕНСТВА И СОЦИАЛЬНОЙ СПРАВЕДЛИВОСТИ</t>
  </si>
  <si>
    <t>ПОВЫШЕНИЕ УРОВНЯ РАВЕНСТВА И СОЦИАЛЬНОЙ СПРАВЕДЛИВОСТИ</t>
  </si>
  <si>
    <t>Был ли принят во внимание исторический контекст равенства и социальной справедливости при идентификации, разработке и реализации проекта?</t>
  </si>
  <si>
    <t xml:space="preserve">Была ли проведена в рамках проекта оценка диапазона прямых и косвенных социальных воздействий, которые он окажет на принимающие и затронутые общины? </t>
  </si>
  <si>
    <t>Был ли в рамках проекта непосредственно затронут вопрос о прямом и косвенном социальном воздействии, которое он окажет на принимающие и затронутые общины?</t>
  </si>
  <si>
    <t>Устраняет ли проект существующую или историческую несправедливость или неравенство?</t>
  </si>
  <si>
    <t>Принимали ли государственные и/или частные субъекты, участвующие в ГЧП, конкретные обязательства по обеспечению равенства и социальной справедливости в рамках своих организаций?</t>
  </si>
  <si>
    <t>AE4. ПЛАНИРОВАНИЕ ДОЛГОСРОЧНОГО ДОСТУПА И РАВЕНСТВА</t>
  </si>
  <si>
    <t>ПЛАНИРОВАНИЕ ДОЛГОСРОЧНОГО ДОСТУПА И РАВЕНСТВА</t>
  </si>
  <si>
    <t>Были ли оценены потенциальные риски для эффективности выполнения проекта с точки зрения ценовой приемлемости, доступности и справедливости?</t>
  </si>
  <si>
    <t>Было ли обеспечено, чтобы процесс составления плана осуществления проекта, его структурирования и разработки и управления им или заключения контракта по нему предоставлял возможность продолжать предвидеть потенциальные будущие риски для эффективности выполнения проекта и реагировать на них с учетом требований ценовой приемлемости, доступности и справедливости на протяжении всего срока его реализации?</t>
  </si>
  <si>
    <t xml:space="preserve">Имеются ли механизмы мониторинга для обеспечения непрерывного предоставления услуг на приемлемом уровне на протяжении всего срока реализации проекта? </t>
  </si>
  <si>
    <t>Обеспечить, чтобы услуга (и), предоставляемая (ые) проектом, была (и) приемлемой (ыми) по цене и доступной (ыми) для всех людей в общинах, которые он призван обслуживать.</t>
  </si>
  <si>
    <t xml:space="preserve">Данный контрольный показатель применим ко всем проектам, которые предоставляют одну или несколько основных услуг и/или могут прямо или косвенно влиять на предоставление одной или нескольких существующих основных услуг. В связи с этим будет трудно продемонстрировать, что данный контрольный показатель неактуален или не применим в случае проекта, стремящегося быть признанными ГЧП на благо людей. Поэтому проектам, стремящимся быть признанными ГЧП на благо людей, следует принять меры для соответствия всем обязательным индикаторам (отмеченным *), которые необходимы для достижения уровня эффективности «надлежащей практики», и настоятельно рекомендуется принять меры для достижения уровней эффективности «более оптимальной практики» и «наилучшей практики» за счет соответствия по мере возможности всем индикаторам, включенным в данный контрольный показатель. </t>
  </si>
  <si>
    <t>Аспекты данного контрольного показателя, вероятно, применимы ко всем проектам ГЧП; в силу этого будет сложно продемонстрировать, что весь этот контрольный показатель не применим к ГЧП,  стремящемуся быть признанными ГЧП на благо людей. Вместе с тем могут существовать некоторые обстоятельства, когда у любой заинтересованной стороны не возникает никаких проблем с приемлемостью по цене и/или доступностью, которые необходимо решить. В этих редких случаях проекты могут отмечать индикаторы как неприменимые. Всем проектам следует принять меры для соответствия всем обязательным индикаторам (отмеченным *), которые необходимы для достижения уровня эффективности «надлежащей практики», и настоятельно рекомендуется принять меры для достижения уровней эффективности «более оптимальной практики» и «наилучшей практики» за счет соответствия по мере возможности всем индикаторам, включенным в данный контрольный показатель (если только все индикаторы, включенные в данный контрольный показатель, не определены как неприменимые).</t>
  </si>
  <si>
    <t>Обеспечить включение соображений равенства и социальной справедливости в проектные процессы и принятие решений.</t>
  </si>
  <si>
    <t>Данный контрольный показатель применим ко всем проектам. Поэтому проектам, стремящимся быть признанными ГЧП на благо людей, следует принять меры для соответствия всем обязательным индикаторам (отмеченным *), которые необходимы для достижения уровня эффективности «надлежащей практики», и настоятельно рекомендуется принять меры для достижения уровней эффективности «более оптимальной практики» и «наилучшей практики» за счет соответствия по мере возможности всем индикаторам, включенным в данный контрольный показатель.</t>
  </si>
  <si>
    <t>Обеспечить доступ и равенство на протяжении всего жизненного цикла проекта.</t>
  </si>
  <si>
    <t xml:space="preserve">Данный контрольный показатель применим ко всем проектам, стремящимся быть признанными ГЧП на благо людей, поэтому всем проектам следует удовлетворять обязательным индикаторам (отмеченным *), которые включены в данный контрольный показатель и необходимы для достижения уровня эффективности «надлежащей практики», и настоятельно рекомендуется для выхода на уровни эффективности «более оптимальной практики» и «наилучшей практики» принять меры для удовлетворения по мере возможности всем остальным индикаторам, включенным в данный контрольный показатель. </t>
  </si>
  <si>
    <t>Экономическая эффективность и финансовая устойчивость</t>
  </si>
  <si>
    <t>Экологическая устойчивость и потенциал противодействия</t>
  </si>
  <si>
    <t>EE1. НЕДОПУЩЕНИЕ КОРРУПЦИИ И ПООЩРЕНИЕ ПРОЗРАЧНЫХ ЗАКУПОК</t>
  </si>
  <si>
    <t>НЕДОПУЩЕНИЕ КОРРУПЦИИ И ПООЩРЕНИЕ ПРОЗРАЧНЫХ ЗАКУПОК</t>
  </si>
  <si>
    <t>Соответствует ли или отвечает ли проект в целом принятому ЕЭК ООН Стандарту подхода нулевой терпимости к коррупции в рамках закупок по линии ГЧП (НТК) или принципам, содержащимся в нем?</t>
  </si>
  <si>
    <t>Были ли обработаны документы об утверждении проекта, договора о ГЧП и кандидатуры частного спонсора/акционера в соответствии с законом  и в условиях полной транспарентности?</t>
  </si>
  <si>
    <t xml:space="preserve">Был ли подряд на проект предоставлен на основе открытого и прозрачного конкурсного отбора или, в случае незапрошенного предложения, соответствовал ли проект в целом гарантиям, предусмотренным в принятом ЕЭК ООН Стандарте подхода нулевой терпимости к коррупции в рамках закупок по линии ГЧП (НТК), или принципам, содержащимся в нем? </t>
  </si>
  <si>
    <t>Отсутствуют ли свидетельства коррупции или неправомерного влияния на всех этапах закупок по линии ГЧП (идентификация, разработка и реализация) и установлены ли меры защиты для лиц, сообщающих о нарушениях?</t>
  </si>
  <si>
    <t>Стало ли ГЧП результатом структурированного процесса, по итогам которого был заключен сбалансированный договор?</t>
  </si>
  <si>
    <t>Связаны ли затраты по проекту и, если применимо, обязательные авансовые платежи государственному органу непосредственно с реализацией ГЧП?</t>
  </si>
  <si>
    <t>EE2. ОБЕСПЕЧЕНИЕ МАКСИМАЛЬНОЙ ЭКОНОМИЧЕСКОЙ ЖИЗНЕСПОСОБНОСТИ И ФИНАНСОВОЙ УСТОЙЧИВОСТИ</t>
  </si>
  <si>
    <t>ОБЕСПЕЧЕНИЕ МАКСИМАЛЬНОЙ ЭКОНОМИЧЕСКОЙ ЖИЗНЕСПОСОБНОСТИ И ФИНАНСОВОЙ УСТОЙЧИВОСТИ</t>
  </si>
  <si>
    <t>Обеспечивает ли проект чистые материальные и нематериальные выгоды для общества путем предоставления услуг на неизменно и достоверно более высоком уровне  на протяжении всего срока реализации проекта в соответствии с национальными стратегией и программами?</t>
  </si>
  <si>
    <t>Обнаруживается ли позитивная эффективность расходования средств проекта при сравнении затрат и выгод модели ГЧП с моделью государственных закупок?</t>
  </si>
  <si>
    <t>Обнаруживается ли позитивное соотношение затрат/выгод по проекту для стороны государственного сектора при сравнении объема средств налогоплательщика, необходимых для реализации проекта, с экономическими выгодами (включая любые авансовые или годовые платежи по проекту), которые будут получены в результате его реализации?</t>
  </si>
  <si>
    <t>Были ли прозрачно отражены в счетах государственных учреждений какие-либо бюджетные последствия или доходы и были ли положительно оценены и открыто раскрыты перед заинтересованными сторонами такие аспекты, как финансовая устойчивость договора о ГЧП и кредитоспособность государственного органа, включая бремя любого прямого платежа, финансовые поступления в государственный орган  и потенциальное бремя задолженности в виде условных обязательств?</t>
  </si>
  <si>
    <t xml:space="preserve">Направлен ли проект на достижение максимального социально-экономического эффекта путем содействия расширению прав и возможностей женщин? </t>
  </si>
  <si>
    <t>EE3. ОБЕСПЕЧЕНИЕ МАКСИМАЛЬНОЙ ДОЛГОСРОЧНОЙ ФИНАНСОВОЙ ЖИЗНЕСПОСОБНОСТИ</t>
  </si>
  <si>
    <t>ОБЕСПЕЧЕНИЕ МАКСИМАЛЬНОЙ ДОЛГОСРОЧНОЙ ФИНАНСОВОЙ ЖИЗНЕСПОСОБНОСТИ</t>
  </si>
  <si>
    <t xml:space="preserve">Обладает ли частный спонсор/акционер проекта надлежащим техническим, финансовым и репутационным статусом для успешного финансирования, осуществления, эксплуатации и технического обслуживания проекта на протяжении всего срока его реализации, включая доступ к необходимым ресурсам для выполнения своих договорных обязательств? </t>
  </si>
  <si>
    <t>Позволят ли доходы по договору о ГЧП  покрыть расходы на эксплуатацию и техническое обслуживание проекта и вернуть вложенный капитал?</t>
  </si>
  <si>
    <t xml:space="preserve">Были ли выявлены и надлежащим образом распределены существенные риски для ГЧП? </t>
  </si>
  <si>
    <t xml:space="preserve">Ограничило ли ГЧП риски исполнения за счет принятия мер по снижению рисков во время разработки проекта? </t>
  </si>
  <si>
    <t>EE4. ПОВЫШЕНИЕ УРОВНЯ ЗАНЯТОСТИ И РАСШИРЕНИЕ ЭКОНОМИЧЕСКИХ ВОЗМОЖНОСТЕЙ</t>
  </si>
  <si>
    <t>ПОВЫШЕНИЕ УРОВНЯ ЗАНЯТОСТИ И РАСШИРЕНИЕ ЭКОНОМИЧЕСКИХ ВОЗМОЖНОСТЕЙ</t>
  </si>
  <si>
    <t>Создает ли проект значительное  количество новых рабочих мест на местном уровне во время идентификации, разработки и реализации проекта?</t>
  </si>
  <si>
    <t>Соответствуют ли качественные рабочие места, создаваемые в рамках ГЧП, показателям МОТ по обеспечению достойного труда?</t>
  </si>
  <si>
    <t xml:space="preserve">Выявлены ли в рамках проекта пробелы в навыках или возможностях местной рабочей силы и разработаны ли целевые программы обучения и наращивания потенциала для их устранения? </t>
  </si>
  <si>
    <t>Нацелены ли программы обучения, образования или повышения квалификации конкретно на группы лиц, которые сталкиваются с препятствиями в сфере трудоустройства и на пути профессионального роста на рабочем месте?</t>
  </si>
  <si>
    <t>Разработаны ли планы и программы, включая ключевые показатели эффективности (КПЭ), для обеспечения многообразия и включения в состав рабочей силы?</t>
  </si>
  <si>
    <t>Приняты ли обязательства по защите прав трудящихся, включая права женщин, недопущение дискриминации и предотвращение насилия и домогательств на рабочем месте; равную оплату за равный труд; и доступ к образованию и другим основным услугам?</t>
  </si>
  <si>
    <t>Не допускать коррупцию и поощрять открытые и транспарентные процессы закупок.</t>
  </si>
  <si>
    <t xml:space="preserve">Данный контрольный показатель применим ко всем проектам ГЧП. Любому проекту, стремящемуся быть признанными ГЧП на благо людей, следует принять меры для соответствия обязательным индикаторам (отмеченным *), которые включены в данный контрольный показатель и необходимы для достижения уровня эффективности «надлежащей практики», и проектам настоятельно рекомендуется принять меры для достижения уровней эффективности «более оптимальной практики» и «наилучшей практики» за счет соответствия по мере возможности всем индикаторам, включенным в данный контрольный показатель. ГЧП на благо людей рекомендуется официально принять подход НТК. Хотя строгое соблюдение НТК не требуется для достижения соблюдения, принципы, содержащиеся в данном подходе, должны в целом соблюдаться.  </t>
  </si>
  <si>
    <t>Обеспечить надлежащий баланс между экономическим ростом и результативным управлением бюджетом/долгом для государственной стороны.</t>
  </si>
  <si>
    <t>Данный контрольный показатель применим ко всем проектам ГЧП. Любому проекту, стремящемуся быть признанными ГЧП на благо людей, следует принять меры для соответствия обязательным индикаторам (отмеченным *), которые включены в данный контрольный показатель и необходимы для достижения уровня эффективности «надлежащей практики», и настоятельно рекомендуется принять меры для достижения уровней эффективности «более оптимальной практики» и «наилучшей практики» за счет соответствия по мере возможности всем индикаторам, включенным в данный контрольный показатель.</t>
  </si>
  <si>
    <t>Обеспечить для частной стороны финансовую жизнеспособность проекта, в том числе его рентабельность, на протяжении всего срока существования проекта.</t>
  </si>
  <si>
    <t>Поддерживать экономическое процветание, включая создание рабочих мест и наращивание потенциала как можно большего числа местных жителей, включая мужчин и женщин, и в частности бедных и уязвимых слоев населения.</t>
  </si>
  <si>
    <t>Данный контрольный показатель применим ко всем проектам ГЧП. Хотя в данный контрольный показатель не включены обязательные индикаторы, проектам следует стремиться соответствовать требованиям для достижения уровня эффективности «надлежащей практики», и рекомендуется по мере возможности переходить на уровни эффективности «более оптимальной практики» и «наилучшей практики» путем принятия мер для соответствия всем или максимально возможному числу индикаторов, включенных в данный контрольный показатель.</t>
  </si>
  <si>
    <t>ES1. СОКРАЩЕНИЕ ВЫБРОСОВ ПАРНИКОВЫХ ГАЗОВ И ПОВЫШЕНИЕ ЭНЕРГОЭФФЕКТИВНОСТИ</t>
  </si>
  <si>
    <t>СОКРАЩЕНИЕ ВЫБРОСОВ ПАРНИКОВЫХ ГАЗОВ И ПОВЫШЕНИЕ ЭНЕРГОЭФФЕКТИВНОСТИ</t>
  </si>
  <si>
    <t xml:space="preserve">Был ли рассчитан годовой объем выбросов парниковых газов на протяжении всего срока реализации проекта? </t>
  </si>
  <si>
    <t>Был ли разработан в рамках проекта план/были ли определены в его рамках стратегии сокращения выбросов парниковых газов на протяжении всего срока реализации проекта?</t>
  </si>
  <si>
    <t>Были ли в рамках проекта успешно реализованы меры по сокращению выбросов парниковых газов  по сравнению с мировыми нормами?</t>
  </si>
  <si>
    <t xml:space="preserve">Было ли рассчитано годовое энергопотребление проекта на единицу продукции/услуг? </t>
  </si>
  <si>
    <t>Был ли разработан в рамках проекта план/были ли определены в его рамках стратегии повышения энергоэффективности/снижения энергопотребления проекта?</t>
  </si>
  <si>
    <t>Были ли в рамках проекта успешно реализованы мероприятия по сокращению энергопотребления на единицу продукции/услуг по сравнению с национальными нормами?</t>
  </si>
  <si>
    <t>Было ли достигнуто в ходе осуществления проекта повышение индекса энергоэффективности (ИЭЭ) и индекса использования энергии (ИИЭ) или соблюдение требований Директивы ЕС об энергетических характеристиках зданий (ДЭХЗ) для любых объектов и/или зданий, включенных в проект, с точки зрения отношения общего объема энергии, потребленной в здании/объекте в течение года, к общей площади застройки по сравнению с национальными нормами?</t>
  </si>
  <si>
    <t>ES2. СОКРАЩЕНИЕ ОТХОДОВ И ВОССТАНОВЛЕНИЕ ДЕГРАДИРОВАВШИХ ЗЕМЕЛЬ</t>
  </si>
  <si>
    <t>СОКРАЩЕНИЕ ОТХОДОВ И ВОССТАНОВЛЕНИЕ ДЕГРАДИРОВАВШИХ ЗЕМЕЛЬ</t>
  </si>
  <si>
    <t xml:space="preserve">Изучались ли в рамках проекта возможности для включения в него процессов экономики замкнутого цикла? </t>
  </si>
  <si>
    <t>Включает ли проект в себя один или несколько процессов экономики замкнутого цикла за счет использования нежелательных отходов и/или избыточных ресурсов из другого местного проекта  или нахождения местных потребителей для выгодного использования/повторного использования его нежелательных отходов и/или избыточных ресурсов?</t>
  </si>
  <si>
    <t>Были ли подсчитаны затраты материалов на единицу услуг (ЗМЕС) для проекта, и снизилась ли интенсивность использования сырья в рамках проекта по сравнению с национальными нормативами?</t>
  </si>
  <si>
    <t>Был ли подготовлен оперативный план управления отходами, который направлен на сокращение отходов  (включая опасные отходы) на протяжении всего срока реализации проекта?</t>
  </si>
  <si>
    <t xml:space="preserve">Сократилось ли количество ежегодно образующихся отходов (включая опасные отходы) на единицу продукции или услуг по сравнению с национальным отраслевым стандартом? </t>
  </si>
  <si>
    <t>Сократился ли объем любых отходов (включая опасные отходы), ежегодно образующихся в результате реализации проекта (после принятия мер по их сокращению) и вывозимых на мусорные свалки, в расчете на единицу продукции или услуг по сравнению с национальным отраслевым стандартом?</t>
  </si>
  <si>
    <t>Осуществляется ли проект на ранее освоенных землях или же на бесплодных или деградировавших землях, непригодных для использования в качестве сельскохозяйственных угодий?</t>
  </si>
  <si>
    <t>Были ли восстановлены (компенсированы)  эквивалентные деградировавшие земли в зоне действия проекта на участке, находящемся за пределами границ проекта, но в пределах зоны воздействия проекта?</t>
  </si>
  <si>
    <t>ES3. ПОТРЕБЛЕНИЕ ВОДЫ И СБРОС СТОЧНЫХ ВОД</t>
  </si>
  <si>
    <t>ПОТРЕБЛЕНИЕ ВОДЫ И СБРОС СТОЧНЫХ ВОД</t>
  </si>
  <si>
    <t>Были ли определены и оценены стратегии сокращения потребления пресной воды в ходе осуществления проекта?</t>
  </si>
  <si>
    <t>Соответствует ли проект законодательным нормативам сброса сточных вод после очистки и характеризуется ли он такими особенностями, которые позволяют свести к минимуму негативное воздействие водопотребления, и/или охватывает ли он соответствующие проблемы на уровне водосборного бассейна?</t>
  </si>
  <si>
    <t>Уменьшился ли объем пресной воды, потребляемой/использующейся в рамках проекта, на единицу продукции/услуг по сравнению с национальными нормативами?</t>
  </si>
  <si>
    <t>Оказывает ли проект чистое нулевое воздействие на количество и доступность запасов пресной поверхностной воды и подземных вод?</t>
  </si>
  <si>
    <t>ES4. ЗАЩИТА БИОРАЗНООБРАЗИЯ</t>
  </si>
  <si>
    <t>ЗАЩИТА БИОРАЗНООБРАЗИЯ</t>
  </si>
  <si>
    <t>Была ли проведена в рамках проекта оценка воздействия на окружающую среду (ОВОС)?</t>
  </si>
  <si>
    <t>Был ли разработан и реализован в рамках проекта план экологического обустройства (ПЭО) в интересах предотвращения и смягчения последствий для зоны воздействия или ее восстановления?</t>
  </si>
  <si>
    <t>Обеспечивает ли проект сохранение и/или улучшение функциональности местообитаний (наземных и/или водных)  в рамках партнерства с местными органами  (например, с местными природоохранными органами)?</t>
  </si>
  <si>
    <t>ES5. ОЦЕНКА РИСКОВ И ПОТЕНЦИАЛА ПРОТИВОДЕЙСТВИЯ ДЛЯ БОРЬБЫ С БЕДСТВИЯМИ</t>
  </si>
  <si>
    <t>ОЦЕНКА РИСКОВ И ПОТЕНЦИАЛА ПРОТИВОДЕЙСТВИЯ ДЛЯ БОРЬБЫ С БЕДСТВИЯМИ</t>
  </si>
  <si>
    <t>Были ли завершены мероприятия по обеспечению готовности проекта к бедствиям?</t>
  </si>
  <si>
    <t>Была ли разработана в рамках проекта четко сформулированная стратегия уменьшения и смягчения рисков для проекта, принимающей стороны и затрагиваемых общин?</t>
  </si>
  <si>
    <t>Был ли создан механизм координации действий по реагированию и восстановлению с участием заинтересованных сторон и представителей принимающих и затрагиваемых общин?</t>
  </si>
  <si>
    <t xml:space="preserve">Была ли подготовлена для проекта стратегия финансовой интеграции в случае возникновения бедствий для финансирования мер по реагированию на бедствия и последующему восстановлению/ реконструкции? </t>
  </si>
  <si>
    <t xml:space="preserve">Были ли заинтересованные стороны на уровне местных общин (внешние по отношению к проекту) привлечены к процессу обеспечения готовности к бедствиям и планирования механизмов координации действий по реагированию на них и последующему восстановлению? </t>
  </si>
  <si>
    <t>ES6. ВЫДЕЛЕНИЕ СРЕДСТВ НА ЦЕЛИ ОБЕСПЕЧЕНИЯ ПОТЕНЦИАЛА ПРОТИВОДЕЙСТВИЯ И БОРЬБЫ С БЕДСТВИЯМИ</t>
  </si>
  <si>
    <t>ВЫДЕЛЕНИЕ СРЕДСТВ НА ЦЕЛИ ОБЕСПЕЧЕНИЯ ПОТЕНЦИАЛА ПРОТИВОДЕЙСТВИЯ И БОРЬБЫ С БЕДСТВИЯМИ</t>
  </si>
  <si>
    <t>Были ли определены в рамках проекта средства, выделяемые из различных источников, и предусмотрен бюджет на покрытие убытков в результате утраты активов?</t>
  </si>
  <si>
    <t xml:space="preserve">Были ли определены в рамках проекта средства, выделяемые из различных источников, и предусмотрен бюджет для компенсации потерь в сфере благосостояния? </t>
  </si>
  <si>
    <t>Были ли выделены в рамках проекта средства на поддержку научно-исследовательских и инновационных программ, программ по наращиванию потенциала и/или программ по повышению уровня информированности?</t>
  </si>
  <si>
    <t>ES7. ПООЩРЕНИЕ РАЗВИТИЯ, ОРИЕНТИРОВАННОГО НА ОБЩИНЫ</t>
  </si>
  <si>
    <t>ПООЩРЕНИЕ РАЗВИТИЯ, ОРИЕНТИРОВАННОГО НА ОБЩИНЫ</t>
  </si>
  <si>
    <t xml:space="preserve">Существует ли конкретная программа развития, ориентированного на общины (РОО), в которой определены превентивные меры и подготовительные действия до возникновения стихийных и антропогенных бедствий, чрезвычайные действия в момент их наступления и меры по восстановлению и повышению жизнестойкости после их завершения? </t>
  </si>
  <si>
    <t xml:space="preserve">Разработан ли в рамках проекта план оценки мер, направленных на борьбу с бедностью, с целью поддержки процесса развития программы РОО? </t>
  </si>
  <si>
    <t>Разработан ли в рамках проекта показатель социально-экономической устойчивости общин для поддержки процесса развития программы РОО?</t>
  </si>
  <si>
    <t xml:space="preserve">Соответствует ли проект Закону о смягчении последствий бедствий в отношении целей, возможностей, стандартов и передовой практики программы РОО с точки зрения готовности соответствующей институциональной структуры и финансовых инструментов? </t>
  </si>
  <si>
    <t>Сократить выбросы парниковых газов (ПГ) и повысить энергоэффективность проекта.</t>
  </si>
  <si>
    <t xml:space="preserve">Все ГЧП выиграют от изучения путей сокращения выбросов ПГ и повышения энергоэффективности. Маловероятно, что ГЧП не окажет никакого воздействия или не сможет сократить выбросы ПГ зданиями и другими объектами, выбросы, образующиеся в ходе строительства и эксплуатации, а также выбросы в результате перевозки материалов, товаров и услуг. Кроме того, маловероятно, что ГЧП не окажет никакого влияния или не сможет повысить энергоэффективность, будь то за счет повышения энергоэффективности зданий и/или инфраструктуры, таких как аэропорты, автомобильные, железные дороги, медицинские учреждения, а также установки водоподготовки и водоочистные сооружения. Поэтому проектам, стремящимся быть признанными ГЧП на благо людей, следует принять меры для соответствия всем обязательным индикаторам (отмеченным *), которые включены в данный контрольный показатель и необходимы для достижения уровня эффективности «надлежащей практики», и настоятельно рекомендуется принять меры для достижения уровней эффективности «более оптимальной практики» и «наилучшей практики» за счет соответствия по мере возможности всем индикаторам, включенным в данный контрольный показатель. </t>
  </si>
  <si>
    <t>Уровень эффективности ES1 (выбросы парниковых газов):</t>
  </si>
  <si>
    <t>Использовать нежелательные отходов и/или избыточные ресурсы для работы по достижению экономики замкнутого цикла; сокращать образование отходов и безопасно удалять все образующиеся отходы; и поощрять использование деградировавших земель и восстановление земель.</t>
  </si>
  <si>
    <t>Сократить общее потребление воды и обеспечить защиту количества и наличия пресных поверхностных и подземных вод</t>
  </si>
  <si>
    <t>Данный контрольный показатель применим ко всем ГЧП, которые используют водные ресурсы или влияют на них. Поэтому проектам, стремящимся быть признанными ГЧП на благо людей, следует принять меры для соответствия всем обязательным индикаторам (отмеченным *), которые необходимы для достижения уровня эффективности «надлежащей практики» по данному контрольному показателю, и настоятельно рекомендуется принять меры для достижения уровней эффективности «более оптимальной практики» и «наилучшей практики» за счет соответствия по мере возможности всем индикаторам, включенным в данный контрольный показатель.</t>
  </si>
  <si>
    <t>Остановить утрату биоразнообразия за счет сохранения, восстановления окружающей среды и использования методов устойчивого управления.</t>
  </si>
  <si>
    <t>Вполне вероятно, что все ГЧП могут прямо или косвенно воздействовать на биоразнообразие. Поэтому проектам, стремящимся быть признанными ГЧП на благо людей, следует принять меры для соответствия всем обязательным индикаторам (отмеченным *), которые необходимы для достижения уровня эффективности «надлежащей практики» по данному контрольному показателю, и настоятельно рекомендуется принять меры для соблюдения требований «более оптимальной практики» и «наилучшей практики» за счет соответствия по мере возможности всем индикаторам, включенным в данный контрольный показатель.</t>
  </si>
  <si>
    <t>Провести оценку множественных рисков и потенциала противодействия, включая угрозы, связанные с изменением климата, острые шоки и факторы хронического стресса, для получения информации для разработки плана борьбы с бедствиями.</t>
  </si>
  <si>
    <t>Данный контрольный показатель применим ко всем ГЧП, поскольку все они сталкиваются с некоторыми угрозами из-за изменения климата и других факторов и могут столкнуться с целым рядом острых шоков или факторов хронического стресса. Поэтому проектам, стремящимся быть признанными ГЧП на благо людей, следует принять меры для соответствия всем обязательным индикаторам (отмеченным *), которые включены в данный контрольный показатель и необходимы для достижения уровня эффективности «надлежащей практики», и настоятельно рекомендуется принять меры для соблюдения требований «более оптимальной практики» и «наилучшей практики» за счет соответствия по мере возможности всем индикаторам, включенным в данный контрольный показатель.</t>
  </si>
  <si>
    <t>Разработать программу развития, ориентированного на общины.</t>
  </si>
  <si>
    <t>Данный контрольный показатель применим ко всем ГЧП. Проектам, стремящимся быть признанными ГЧП на благо людей, настоятельно рекомендуется принять меры для соответствия всем индикаторам (отмеченным *), которые включены в данный контрольный показатель и необходимы для достижения уровня эффективности «надлежащей практики», и поощряется их продвижение к достижению уровней эффективности «более оптимальной практики» и «наилучшей практики» за счет соответствия по мере возможности всем индикаторам, включенным в данный контрольный показатель.</t>
  </si>
  <si>
    <t>Данный контрольный показатель применим ко всем ГЧП. Все ГЧП должны иметь программу развития, ориентированного на общины (РОО), согласованную с национальной нормативно-правовой базой в области смягчения последствий бедствий, с тем чтобы содействовать более быстрому, эффективному и качественному восстановлению и реконструкции после бедствий. Поэтому проектам, стремящимся быть признанными ГЧП на благо людей, настоятельно рекомендуется принять меры для соответствия всем индикаторам (отмеченным *), которые включены в данный контрольный показатель и необходимы для достижения уровня эффективности «надлежащей практики», и поощряется их продвижение к достижению уровней эффективности «более оптимальной практики» и «наилучшей практики» за счет соответствия по мере возможности всем индикаторам, включенным в данный контрольный показатель.</t>
  </si>
  <si>
    <t>Выбросы парниковых газов</t>
  </si>
  <si>
    <t>Энергоэффективность</t>
  </si>
  <si>
    <t>Процесс экономики замкнутого цикла</t>
  </si>
  <si>
    <t>Образование и удаление твердых отходов</t>
  </si>
  <si>
    <t>Восстановление деградировавших земель</t>
  </si>
  <si>
    <t>Качественные комментарии по обязательным индикаторам</t>
  </si>
  <si>
    <t>Выявить и принять во внимание потребности, цели и проблемы общин, которые проект призван обслуживать.</t>
  </si>
  <si>
    <t>В рамках проекта были приняты во внимание потребности, цели и проблемы общин, которые он призван обслуживать.</t>
  </si>
  <si>
    <t>В рамках проекта произведена количественная оценка числа людей, которые ранее не имели доступа или не имели удовлетворительного доступа к одной или нескольким основным услугам и будут иметь новый или более совершенный доступ к этим услугам в качестве прямого и/или косвенного результата проекта.</t>
  </si>
  <si>
    <t>Произвести количественную оценку числа людей, которые ранее не имели доступа или не имели удовлетворительного доступа к одной или нескольким основным услугам и будут иметь новый или более совершенный доступ к этим услугам в качестве прямого и/или косвенного результата проекта.</t>
  </si>
  <si>
    <t>В рамках проекта определены и удовлетворены потребности общин, которые он призван обслуживать, в отношении доступности таким образом, чтобы услуги, предоставляемые в рамках проекта, были вполне доступными для всех пользователей, включая наиболее уязвимых и обездоленных.</t>
  </si>
  <si>
    <t>Определить и удовлетворить потребности общин, которые проект призван обслуживать, в отношении доступности таким образом, чтобы услуги, предоставляемые в рамках проекта, были вполне доступными для всех пользователей, включая наиболее уязвимых и обездоленных.</t>
  </si>
  <si>
    <t>Тщательный анализ потребностей общин, которые проект призван обслуживать, в отношении доступности показал, что отсутствуют какие-либо проблемы с доступностью, связанные с проектом.</t>
  </si>
  <si>
    <t>В рамках проекта принят во внимание исторический контекст равенства и социальной справедливости на протяжении всего срока действия проекта (идентификация, разработка и реализация).</t>
  </si>
  <si>
    <t>На протяжении всего срока действия проекта (идентификация, разработка и реализация) обеспечить принятие во внимание исторического контекста равенства и социальной справедливости.</t>
  </si>
  <si>
    <t>В рамках проекта проведена оценка диапазона прямых и косвенных социальных воздействий (например, прямое воздействие на культурные, исторические, рекреационные или другие ресурсы и услуги в результате реализации проекта и связанной с ним деятельности; воздействие в результате независимого вторичного строительства или действий, которые могут предприниматься в результате реализации проекта; косвенное воздействие на культурные, исторические, рекреационные или другие ресурсы или услуги, важные для местной общины), которые он окажет на принимающие и затронутые общины (т.е. зону обслуживания проекта).</t>
  </si>
  <si>
    <t>Оценить диапазон прямых и косвенных социальных воздействий (например, прямое воздействие на культурные, исторические, рекреационные или другие ресурсы и услуги в результате реализации проекта и связанной с ним деятельности; воздействие в результате независимого вторичного строительства или действий, которые могут предприниматься в результате реализации проекта; косвенное воздействие на культурные, исторические, рекреационные или другие ресурсы или услуги, важные для местной общины), которые он окажет на принимающие и затронутые общины (т.е. зону обслуживания проекта).</t>
  </si>
  <si>
    <t>В рамках проекта была проведена оценка рисков для эффективности выполнения проекта с точки зрения ценовой приемлемости, доступности и справедливости.</t>
  </si>
  <si>
    <t>Оценить риски для эффективности выполнения проекта с точки зрения ценовой приемлемости, доступности и справедливости.</t>
  </si>
  <si>
    <t>Обеспечено, чтобы процесс составления плана осуществления проекта, его структурирования и разработки и управления им или заключения контракта по нему предоставлял возможность продолжать предвидеть потенциальные будущие риски для эффективности выполнения проекта и реагировать на них с учетом требований ценовой приемлемости, доступности и справедливости на протяжении всего срока его реализации.</t>
  </si>
  <si>
    <t>Обеспечить, чтобы процесс составления плана осуществления проекта, его структурирования и разработки и управления им или заключения контракта по нему предоставлял возможность продолжать предвидеть потенциальные будущие риски для эффективности выполнения проекта и реагировать на них с учетом требований ценовой приемлемости, доступности и справедливости на протяжении всего срока его реализации.</t>
  </si>
  <si>
    <t>Проект в целом соответствует или отвечает принятому ЕЭК ООН Стандарту подхода нулевой терпимости к коррупции в рамках закупок по линии ГЧП (НТК) или принципам, содержащимся в нем.</t>
  </si>
  <si>
    <t>Соответствовать или отвечать принятому ЕЭК ООН Стандарту подхода нулевой терпимости к коррупции в рамках закупок по линии ГЧП (НТК) или принципам, содержащимся в нем.</t>
  </si>
  <si>
    <t>Проект обеспечивает чистые материальные и нематериальные выгоды для общества путем предоставления услуг на неизменно и достоверно более высоком уровне на протяжении всего срока реализации проекта.</t>
  </si>
  <si>
    <t>Обеспечить, чтобы проект мог приносить чистые материальные и нематериальные выгоды для общества путем предоставления услуг на неизменно и достоверно более высоком уровне на протяжении всего срока реализации проекта.</t>
  </si>
  <si>
    <t>Частный спонсор/акционер проекта обладает надлежащим техническим, финансовым и репутационным статусом для успешного финансирования, осуществления, эксплуатации и технического обслуживания проекта на протяжении всего срока его реализации, включая доступ к необходимым ресурсам для выполнения своих договорных обязательств.</t>
  </si>
  <si>
    <t>Обеспечить, чтобы частный спонсор/акционер проекта обладал надлежащим техническим, финансовым и репутационным статусом для успешного финансирования, осуществления, эксплуатации и технического обслуживания проекта на протяжении всего срока его реализации, включая доступ к необходимым ресурсам для выполнения своих договорных обязательств.</t>
  </si>
  <si>
    <t>Рассчитан годовой объем выбросов парниковых газов на протяжении всего срока реализации проекта.</t>
  </si>
  <si>
    <t>Рассчитать годовой объем выбросов парниковых газов на протяжении всего срока реализации проекта.</t>
  </si>
  <si>
    <t>В рамках проекта разработан план/ определены в его рамках стратегии сокращения выбросов парниковых газов на протяжении всего срока реализации проекта.</t>
  </si>
  <si>
    <t>Разработать план/определить стратегии сокращения выбросов парниковых газов на протяжении всего срока реализации проекта.</t>
  </si>
  <si>
    <t>Рассчитано годовое энергопотребление проекта на единицу продукции/услуг.</t>
  </si>
  <si>
    <t>Рассчитать годовое энергопотребление проекта на единицу продукции/услуг.</t>
  </si>
  <si>
    <t>В связи с отсутствием энергопотребляющих элементов в рамках проекта нет необходимости рассчитывать годовое энергопотребление проекта на единицу продукции/услуг.</t>
  </si>
  <si>
    <t>В рамках проекта разработан план/определены в его рамках стратегии повышения энергоэффективности/снижения энергопотребления проекта.</t>
  </si>
  <si>
    <t>Разработать план/определить стратегии повышения энергоэффективности/снижения энергопотребления проекта.</t>
  </si>
  <si>
    <t>В связи с отсутствием энергопотребляющих элементов в рамках проекта нет необходимости разрабатывать план или определять стратегии повышения энергоэффективности/снижения энергопотребления проекта.</t>
  </si>
  <si>
    <t>В рамках проекта изучены возможности для включения в него процессов экономики замкнутого цикла (например, изучены возможности выгодного использования/повторного использования нежелательных отходов или избыточных ресурсов, включая отходы или избыточные материалы, энергию/тепло, выбросы газов и/или сточные воды, либо избыточный сервисный потенциал, рабочую силу/управленческий потенциал, финансовый потенциал и земельный/пространственный потенциал).</t>
  </si>
  <si>
    <t>Изучить возможности для включения в проект процессов экономики замкнутого цикла (например, изучить возможности выгодного использования/повторного использования нежелательных отходов или избыточных ресурсов, включая отходы или избыточные материалы, энергию/тепло, выбросы газов и/или сточные воды, либо избыточный сервисный потенциал, рабочую силу/управленческий потенциал, финансовый потенциал и земельный/пространственный потенциал).</t>
  </si>
  <si>
    <t>В рамках проекта был подготовлен оперативный план управления твердыми и опасными отходами в соответствии с национальными экологическими нормами, который направлен на сокращение образования и захоронение отходов в почву в течение всего срока реализации проекта.</t>
  </si>
  <si>
    <t>Разработать оперативный план управления твердыми и опасными отходами в соответствии с национальными экологическими нормами, который направлен на сокращение образования и захоронение отходов в почву в течение всего срока реализации проекта.</t>
  </si>
  <si>
    <t>В рамках проекта непосредственно не образуются твердые или опасные отходы во время эксплуатации и технического обслуживания, поэтому нет необходимости разрабатывать оперативный план управления твердыми и опасными отходами.</t>
  </si>
  <si>
    <t>В рамках проекта были определены и оценены стратегии сокращения потребления пресной воды в течение срока действия проекта.</t>
  </si>
  <si>
    <t>Определить и оценить стратегии сокращения потребления пресной воды в течение срока действия проекта.</t>
  </si>
  <si>
    <t>Проект соответствует законодательным нормативам сброса сточных вод после очистки и характеризуется такими особенностями, которые позволяют свести к минимуму негативное воздействие водопотребления и/или соответствующие проблемы на уровне водосборного бассейна.</t>
  </si>
  <si>
    <t>Обеспечить соответствие проекта законодательным нормативам сброса сточных вод после очистки и включение в него таких особенностей, которые позволяют свести к минимуму негативное воздействие водопотребления и/или соответствующие проблемы на уровне водосборного бассейна.</t>
  </si>
  <si>
    <t>После тщательного анализа было установлено, что проект не оказывает никакого влияния на количество или качество воды; поэтому нет необходимости в обеспечении соответствия проекта законодательным нормативам сброса сточных вод после очистки и включения в него таких особенностей, которые позволяют свести к минимуму негативное воздействие водопотребления и/или соответствующие проблемы на уровне водосборного бассейна.</t>
  </si>
  <si>
    <t>В рамках проекта была проведена оценка воздействия на окружающую среду (ОВОС) (или первоначальная экологическая оценка для проектов категории В).</t>
  </si>
  <si>
    <t>Провести оценку воздействия на окружающую среду (ОВОС) (или первоначальную экологическую оценку для проектов категории В).</t>
  </si>
  <si>
    <t>Проект классифицируется как проект категории С, который не требует ни оценки воздействия на окружающую среду (ОВОС), ни первоначальной экологической оценки. Анализ воздействия проекта на окружающую среду показывает, что такое воздействие отсутствует.</t>
  </si>
  <si>
    <t>В рамках проекта разработан и реализован план экологического обустройства (ПЭО) в интересах предотвращения и смягчения последствий для зоны воздействия или ее восстановления.</t>
  </si>
  <si>
    <t>Разработать и реализовать план экологического обустройства (ПЭО) в интересах предотвращения и смягчения последствий для зоны воздействия или ее восстановления.</t>
  </si>
  <si>
    <t>В рамках проекта завершены мероприятия по обеспечению готовности проекта к бедствиям.</t>
  </si>
  <si>
    <t>Завершить мероприятия по обеспечению готовности проекта к бедствиям.</t>
  </si>
  <si>
    <t>В рамках проекта разработана четко сформулированная стратегия уменьшения и смягчения рисков для проекта, принимающей стороны и затрагиваемых общин.</t>
  </si>
  <si>
    <t>Завершить мероприятия по обеспечению готовности проекта, принимающей стороны и затрагиваемых общин к бедствиям.</t>
  </si>
  <si>
    <t>В рамках проекта определены средства, выделяемые из различных источников, и предусмотрен бюджет на покрытие убытков в результате утраты активов.</t>
  </si>
  <si>
    <t>Определить средства, выделяемые из различных источников, и предусмотреть бюджет на покрытие убытков в результате утраты активов.</t>
  </si>
  <si>
    <t>Существует конкретная программа развития, ориентированного на общины (РОО), в которой определены превентивные меры и подготовительные действия до возникновения стихийных и антропогенных бедствий, чрезвычайные действия в момент их наступления и меры по восстановлению и повышению жизнестойкости после их завершения.</t>
  </si>
  <si>
    <t>Разработать программу развития, ориентированного на общины (РОО), в которой определены превентивные меры и подготовительные действия до возникновения стихийных и антропогенных бедствий, чрезвычайные действия в момент их наступления и меры по восстановлению и повышению жизнестойкости после их завершения.</t>
  </si>
  <si>
    <t>В рамках проекта проведена оценка возможностей тиражируемости и/или масштабируемости.</t>
  </si>
  <si>
    <t>Оценить возможности тиражируемости и/или масштабируемости.</t>
  </si>
  <si>
    <t>Оценены и/или успешно реализованы возможности для передачи знаний/ноу-хау, технологий и навыков от частной стороны к стороне государственного сектора и/или заинтересованным сторонам на уровне местных общин.</t>
  </si>
  <si>
    <t>Оценить возможности для передачи знаний/ноу-хау, технологий и навыков от частной стороны к стороне государственного сектора и/или заинтересованным сторонам на уровне местных общин и в тех случаях, когда определены жизнеспособные возможности, обеспечить их реализацию.</t>
  </si>
  <si>
    <t>В рамках проекта проведены мероприятия по выяснению круга заинтересованных сторон для определения всех заинтересованных сторон, прямо или косвенно затронутых проектом и/или заинтересованных в нем.</t>
  </si>
  <si>
    <t>Провести мероприятия по выяснению круга заинтересованных сторон для определения всех заинтересованных сторон, прямо или косвенно затронутых проектом и/или заинтересованных в нем.</t>
  </si>
  <si>
    <t>Для проекта разработан план взаимодействия с заинтересованными сторонами и участия общественности, учитывающий специфические потребности каждой из заинтересованных сторон и принимающий во внимание широкий спектр требующих решения проектных вопросов, которые связаны с результатами, ориентированными на обеспечение блага людей.</t>
  </si>
  <si>
    <t>Разработать план взаимодействия с заинтересованными сторонами и участия общественности, учитывающий специфические потребности каждой из заинтересованных сторон и принимающий во внимание широкий спектр требующих решения проектных вопросов, которые связаны с результатами, ориентированными на обеспечение блага людей.</t>
  </si>
  <si>
    <t>Установлены показатели взаимодействия с заинтересованными сторонами и участия общественности для измерения эффективности и инклюзивности процесса взаимодействия с заинтересованными сторонами и участия общественности, а также для измерения конкретных результатов (например, социальных, культурных, экономических, экологических результатов), достигнутых по итогам этого процесса.</t>
  </si>
  <si>
    <t>Разработать показатели взаимодействия с заинтересованными сторонами и участия общественности для измерения эффективности и инклюзивности процесса взаимодействия с заинтересованными сторонами и участия общественности, а также для измерения конкретных результатов (например, социальных, культурных, экономических, экологических результатов), достигнутых по итогам этого процесса.</t>
  </si>
  <si>
    <t>В рамках проекта осуществлен (ы) эффективный (е), своевременный (е) и всеохватывающий (е) план (ы) взаимодействия с заинтересованными сторонами и обеспечения участия общественности на протяжении всего срока реализации проекта.</t>
  </si>
  <si>
    <t>Осуществить эффективный (е), своевременный (е) и всеохватывающий (е) план (ы) взаимодействия с заинтересованными сторонами и обеспечения участия общественности на протяжении всего срока реализации проекта.</t>
  </si>
  <si>
    <t>В рамках проекта реализованы все возможные меры для обеспечения того, чтобы представители общественности, в том числе защитники окружающей среды, имели возможность свободно выражать свои взгляды и участвовать в соответствующих процессах, не опасаясь наказания, преследований или притеснений за свою причастность к этой деятельности.</t>
  </si>
  <si>
    <t>Реализовать все возможные меры для обеспечения того, чтобы представители общественности, в том числе защитники окружающей среды, имели возможность свободно выражать свои взгляды и участвовать в соответствующих процессах, не опасаясь наказания, преследований или притеснений за свою причастность к этой деятельности.</t>
  </si>
  <si>
    <t>Отзывы заинтересованных сторон учитывались в проектных планах, схемах и процессах и/или влияли на процесс принятия решений, и обеспечено справедливое и беспристрастное рассмотрение отзывов заинтересованных сторон в соответствии с принципами социальной и экологической справедливости.</t>
  </si>
  <si>
    <t>Обеспечить учет отзывов заинтересованных сторон в проектных планах, схемах и процессах и/или их влияние на процесс принятия решений, и обеспечить справедливое и беспристрастное рассмотрение отзывов заинтересованных сторон в соответствии с принципами социальной и экологической справедливости.</t>
  </si>
  <si>
    <t>Всем заинтересованным сторонам, включая представителей общественности, легко доступна качественная и актуальная информация о проекте, касающаяся результатов, ориентированных на обеспечение блага людей, и она предоставляется транспарентным, своевременным, понятным и доступным образом.</t>
  </si>
  <si>
    <t>Обеспечить, чтобы всем заинтересованным сторонам, включая представителей общественности, была легко доступна качественная и актуальная информация о проекте, касающаяся результатов, ориентированных на обеспечение блага людей, и чтобы она предоставлялась транспарентным, своевременным, понятным и доступным образом.</t>
  </si>
  <si>
    <t>Краткий обзор: Контрольные показатели ГЧП на благо людей</t>
  </si>
  <si>
    <t xml:space="preserve">Справедливо ли распределяются последствия и выгоды проекта между заинтересованными сторонами/среди принимающих и затронутых общин? </t>
  </si>
  <si>
    <t xml:space="preserve">Были ли оценены и/или успешно реализованы возможности для передачи знаний/ноу-хау, технологий и навыков от частной стороны к стороне государственного сектора и/или заинтересованным сторонам на уровне местных общин? </t>
  </si>
  <si>
    <t>Да и успешно реализованы</t>
  </si>
  <si>
    <t>Конфигурация инструмента</t>
  </si>
  <si>
    <t>Практика отсутствует</t>
  </si>
  <si>
    <t>В рамках проекта не потребляется вода во время эксплуатации и технического обслуживания, отсутствуют какие-либо водопотребляющие элементы, либо проект относится к сфере здравоохранения, и в этом случае определение и оценка стратегий сокращения потребления пресной воды в течение срока действия проекта не требуются.</t>
  </si>
  <si>
    <t>Все ГЧП выиграют от изучения путей полезного повторного использования нежелательных отходов и/или избыточных ресурсов, сокращения образования и удаления твердых отходов и использования ранее освоенных земель (или бесплодных или деградировавших земель, непригодных в качестве сельскохозяйственных угодий). Поэтому проектам, стремящимся быть признанными ГЧП на благо людей, следует принять меры для соответствия всем обязательным индикаторам (отмеченным *), которые необходимы для достижения уровня эффективности «надлежащей практики» по данному контрольному показателю, и настоятельно рекомендуется принять меры для достижения уровней эффективности «более оптимальной практики» и «наилучшей практики» за счет соответствия по мере возможности всем индикаторам, включенным в данный контрольный показатель.</t>
  </si>
  <si>
    <t>Принять меры для выделения достаточных средств на обеспечение потенциала противодействия и борьбы с бедствиями на уровне проектов и общин.</t>
  </si>
  <si>
    <t>Проект от 29 марта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</si>
</sst>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1" x14ac:knownFonts="1">
    <font>
      <sz val="11"/>
      <color theme="1"/>
      <name val="Calibri"/>
      <family val="2"/>
      <scheme val="minor"/>
    </font>
    <font>
      <sz val="11"/>
      <color theme="1"/>
      <name val="Calibri"/>
      <family val="2"/>
      <scheme val="minor"/>
    </font>
    <font>
      <b/>
      <sz val="13"/>
      <color theme="3"/>
      <name val="Calibri"/>
      <family val="2"/>
      <scheme val="minor"/>
    </font>
    <font>
      <sz val="11"/>
      <color theme="0"/>
      <name val="Calibri"/>
      <family val="2"/>
      <scheme val="minor"/>
    </font>
    <font>
      <sz val="12"/>
      <color theme="0"/>
      <name val="Calibri"/>
      <family val="2"/>
      <scheme val="minor"/>
    </font>
    <font>
      <b/>
      <sz val="18"/>
      <color theme="0"/>
      <name val="Calibri"/>
      <family val="2"/>
      <scheme val="minor"/>
    </font>
    <font>
      <b/>
      <sz val="12"/>
      <color theme="0"/>
      <name val="Calibri"/>
      <family val="2"/>
      <scheme val="minor"/>
    </font>
    <font>
      <sz val="1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sz val="8"/>
      <name val="Calibri"/>
      <family val="2"/>
      <scheme val="minor"/>
    </font>
    <font>
      <b/>
      <sz val="12"/>
      <color theme="1"/>
      <name val="Calibri"/>
      <family val="2"/>
      <scheme val="minor"/>
    </font>
    <font>
      <b/>
      <sz val="18"/>
      <name val="Calibri"/>
      <family val="2"/>
      <scheme val="minor"/>
    </font>
    <font>
      <b/>
      <sz val="11"/>
      <color theme="0"/>
      <name val="Calibri"/>
      <family val="2"/>
      <scheme val="minor"/>
    </font>
    <font>
      <sz val="11"/>
      <color rgb="FFFF0000"/>
      <name val="Calibri"/>
      <family val="2"/>
      <scheme val="minor"/>
    </font>
    <font>
      <sz val="11"/>
      <color rgb="FFFFFF00"/>
      <name val="Calibri"/>
      <family val="2"/>
      <scheme val="minor"/>
    </font>
    <font>
      <i/>
      <sz val="11"/>
      <color theme="1"/>
      <name val="Calibri"/>
      <family val="2"/>
      <scheme val="minor"/>
    </font>
    <font>
      <i/>
      <sz val="8"/>
      <color theme="1"/>
      <name val="Calibri"/>
      <family val="2"/>
      <scheme val="minor"/>
    </font>
    <font>
      <i/>
      <sz val="9"/>
      <color theme="1"/>
      <name val="Calibri"/>
      <family val="2"/>
      <scheme val="minor"/>
    </font>
    <font>
      <i/>
      <sz val="10"/>
      <color theme="1"/>
      <name val="Calibri"/>
      <family val="2"/>
      <scheme val="minor"/>
    </font>
    <font>
      <b/>
      <sz val="23"/>
      <color rgb="FF338EDD"/>
      <name val="Calibri"/>
      <family val="2"/>
      <scheme val="minor"/>
    </font>
    <font>
      <b/>
      <i/>
      <sz val="11"/>
      <color theme="0"/>
      <name val="Calibri"/>
      <family val="2"/>
      <scheme val="minor"/>
    </font>
    <font>
      <sz val="8"/>
      <color theme="1"/>
      <name val="Calibri"/>
      <family val="2"/>
      <scheme val="minor"/>
    </font>
    <font>
      <u/>
      <sz val="11"/>
      <color theme="1"/>
      <name val="Calibri"/>
      <family val="2"/>
      <scheme val="minor"/>
    </font>
    <font>
      <i/>
      <sz val="11"/>
      <name val="Calibri"/>
      <family val="2"/>
      <scheme val="minor"/>
    </font>
    <font>
      <b/>
      <sz val="12"/>
      <color rgb="FF000000"/>
      <name val="Calibri"/>
      <family val="2"/>
      <scheme val="minor"/>
    </font>
    <font>
      <b/>
      <sz val="12"/>
      <color rgb="FFFFFFFF"/>
      <name val="Calibri"/>
      <family val="2"/>
      <scheme val="minor"/>
    </font>
    <font>
      <u/>
      <sz val="11"/>
      <color rgb="FF0070C0"/>
      <name val="Calibri"/>
      <family val="2"/>
      <scheme val="minor"/>
    </font>
    <font>
      <sz val="10"/>
      <color theme="1"/>
      <name val="Calibri"/>
      <family val="2"/>
      <scheme val="minor"/>
    </font>
    <font>
      <b/>
      <sz val="16"/>
      <color theme="0"/>
      <name val="Calibri"/>
      <family val="2"/>
      <scheme val="minor"/>
    </font>
  </fonts>
  <fills count="20">
    <fill>
      <patternFill patternType="none"/>
    </fill>
    <fill>
      <patternFill patternType="gray125"/>
    </fill>
    <fill>
      <patternFill patternType="solid">
        <fgColor rgb="FF005677"/>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75A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rgb="FFFFD966"/>
        <bgColor indexed="64"/>
      </patternFill>
    </fill>
    <fill>
      <patternFill patternType="solid">
        <fgColor rgb="FFC9C9C9"/>
        <bgColor indexed="64"/>
      </patternFill>
    </fill>
    <fill>
      <patternFill patternType="solid">
        <fgColor rgb="FFA8D08D"/>
        <bgColor indexed="64"/>
      </patternFill>
    </fill>
    <fill>
      <patternFill patternType="solid">
        <fgColor rgb="FFF4B083"/>
        <bgColor indexed="64"/>
      </patternFill>
    </fill>
    <fill>
      <patternFill patternType="solid">
        <fgColor theme="0"/>
        <bgColor indexed="64"/>
      </patternFill>
    </fill>
    <fill>
      <patternFill patternType="solid">
        <fgColor rgb="FFFFF2CC"/>
        <bgColor indexed="64"/>
      </patternFill>
    </fill>
    <fill>
      <patternFill patternType="solid">
        <fgColor rgb="FF8395B1"/>
        <bgColor indexed="64"/>
      </patternFill>
    </fill>
    <fill>
      <patternFill patternType="solid">
        <fgColor rgb="FFDAE2F3"/>
        <bgColor indexed="64"/>
      </patternFill>
    </fill>
    <fill>
      <patternFill patternType="solid">
        <fgColor rgb="FFD9E1F2"/>
        <bgColor indexed="64"/>
      </patternFill>
    </fill>
    <fill>
      <patternFill patternType="solid">
        <fgColor theme="0" tint="-0.249977111117893"/>
        <bgColor indexed="64"/>
      </patternFill>
    </fill>
    <fill>
      <patternFill patternType="solid">
        <fgColor rgb="FF8496B0"/>
        <bgColor indexed="64"/>
      </patternFill>
    </fill>
  </fills>
  <borders count="46">
    <border>
      <left/>
      <right/>
      <top/>
      <bottom/>
      <diagonal/>
    </border>
    <border>
      <left/>
      <right/>
      <top/>
      <bottom style="thick">
        <color theme="4" tint="0.499984740745262"/>
      </bottom>
      <diagonal/>
    </border>
    <border>
      <left style="thin">
        <color theme="0"/>
      </left>
      <right/>
      <top style="thin">
        <color theme="0"/>
      </top>
      <bottom style="thin">
        <color theme="0"/>
      </bottom>
      <diagonal/>
    </border>
    <border>
      <left/>
      <right/>
      <top style="thin">
        <color theme="0"/>
      </top>
      <bottom style="thin">
        <color theme="0"/>
      </bottom>
      <diagonal/>
    </border>
    <border>
      <left style="thick">
        <color rgb="FF005677"/>
      </left>
      <right/>
      <top style="thick">
        <color rgb="FF005677"/>
      </top>
      <bottom/>
      <diagonal/>
    </border>
    <border>
      <left/>
      <right/>
      <top style="thick">
        <color rgb="FF005677"/>
      </top>
      <bottom/>
      <diagonal/>
    </border>
    <border>
      <left/>
      <right style="thick">
        <color rgb="FF005677"/>
      </right>
      <top style="thick">
        <color rgb="FF005677"/>
      </top>
      <bottom/>
      <diagonal/>
    </border>
    <border>
      <left style="thick">
        <color rgb="FF005677"/>
      </left>
      <right/>
      <top/>
      <bottom/>
      <diagonal/>
    </border>
    <border>
      <left/>
      <right style="thick">
        <color rgb="FF005677"/>
      </right>
      <top/>
      <bottom/>
      <diagonal/>
    </border>
    <border>
      <left style="thick">
        <color rgb="FF005677"/>
      </left>
      <right/>
      <top/>
      <bottom style="thick">
        <color rgb="FF005677"/>
      </bottom>
      <diagonal/>
    </border>
    <border>
      <left/>
      <right/>
      <top/>
      <bottom style="thick">
        <color rgb="FF005677"/>
      </bottom>
      <diagonal/>
    </border>
    <border>
      <left/>
      <right style="thick">
        <color rgb="FF005677"/>
      </right>
      <top/>
      <bottom style="thick">
        <color rgb="FF005677"/>
      </bottom>
      <diagonal/>
    </border>
    <border>
      <left/>
      <right style="medium">
        <color rgb="FF005677"/>
      </right>
      <top style="medium">
        <color rgb="FF005677"/>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5677"/>
      </right>
      <top/>
      <bottom style="medium">
        <color rgb="FF005677"/>
      </bottom>
      <diagonal/>
    </border>
    <border>
      <left/>
      <right/>
      <top/>
      <bottom style="thin">
        <color indexed="64"/>
      </bottom>
      <diagonal/>
    </border>
    <border>
      <left/>
      <right style="medium">
        <color rgb="FF005677"/>
      </right>
      <top style="medium">
        <color rgb="FF005677"/>
      </top>
      <bottom style="medium">
        <color rgb="FF005677"/>
      </bottom>
      <diagonal/>
    </border>
    <border>
      <left style="medium">
        <color rgb="FF005677"/>
      </left>
      <right/>
      <top style="medium">
        <color rgb="FF005677"/>
      </top>
      <bottom style="medium">
        <color rgb="FF005677"/>
      </bottom>
      <diagonal/>
    </border>
    <border>
      <left style="medium">
        <color rgb="FF005677"/>
      </left>
      <right/>
      <top style="medium">
        <color rgb="FF005677"/>
      </top>
      <bottom/>
      <diagonal/>
    </border>
    <border>
      <left style="medium">
        <color rgb="FF005677"/>
      </left>
      <right/>
      <top/>
      <bottom style="medium">
        <color rgb="FF005677"/>
      </bottom>
      <diagonal/>
    </border>
    <border>
      <left style="thin">
        <color indexed="64"/>
      </left>
      <right style="thin">
        <color indexed="64"/>
      </right>
      <top/>
      <bottom style="thin">
        <color indexed="64"/>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theme="0"/>
      </left>
      <right style="medium">
        <color indexed="64"/>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thin">
        <color theme="0"/>
      </left>
      <right style="medium">
        <color indexed="64"/>
      </right>
      <top style="thin">
        <color theme="0"/>
      </top>
      <bottom style="medium">
        <color indexed="64"/>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theme="0"/>
      </top>
      <bottom style="thin">
        <color theme="0"/>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9" fontId="1" fillId="0" borderId="0" applyFont="0" applyFill="0" applyBorder="0" applyAlignment="0" applyProtection="0"/>
    <xf numFmtId="0" fontId="2" fillId="0" borderId="1" applyNumberFormat="0" applyFill="0" applyAlignment="0" applyProtection="0"/>
    <xf numFmtId="0" fontId="9" fillId="0" borderId="0" applyNumberFormat="0" applyFill="0" applyBorder="0" applyAlignment="0" applyProtection="0"/>
    <xf numFmtId="43" fontId="1" fillId="0" borderId="0" applyFont="0" applyFill="0" applyBorder="0" applyAlignment="0" applyProtection="0"/>
  </cellStyleXfs>
  <cellXfs count="223">
    <xf numFmtId="0" fontId="0" fillId="0" borderId="0" xfId="0"/>
    <xf numFmtId="0" fontId="0" fillId="0" borderId="0" xfId="0" applyBorder="1"/>
    <xf numFmtId="0" fontId="0" fillId="0" borderId="7" xfId="0" applyBorder="1"/>
    <xf numFmtId="0" fontId="0" fillId="0" borderId="8" xfId="0" applyBorder="1"/>
    <xf numFmtId="0" fontId="0" fillId="0" borderId="7" xfId="0" applyBorder="1" applyAlignment="1">
      <alignment wrapText="1"/>
    </xf>
    <xf numFmtId="0" fontId="10" fillId="6" borderId="9" xfId="0" applyFont="1" applyFill="1" applyBorder="1"/>
    <xf numFmtId="0" fontId="10" fillId="6" borderId="10" xfId="0" applyFont="1" applyFill="1" applyBorder="1"/>
    <xf numFmtId="0" fontId="10" fillId="6" borderId="11" xfId="0" applyFont="1" applyFill="1" applyBorder="1"/>
    <xf numFmtId="0" fontId="12" fillId="7" borderId="22" xfId="4" applyNumberFormat="1" applyFont="1" applyFill="1" applyBorder="1" applyAlignment="1" applyProtection="1">
      <alignment vertical="center"/>
      <protection hidden="1"/>
    </xf>
    <xf numFmtId="0" fontId="12" fillId="7" borderId="17" xfId="4" applyNumberFormat="1" applyFont="1" applyFill="1" applyBorder="1" applyAlignment="1" applyProtection="1">
      <alignment vertical="center"/>
      <protection hidden="1"/>
    </xf>
    <xf numFmtId="0" fontId="8" fillId="0" borderId="0" xfId="0" applyFont="1"/>
    <xf numFmtId="0" fontId="0" fillId="0" borderId="0" xfId="0" applyAlignment="1"/>
    <xf numFmtId="9" fontId="0" fillId="0" borderId="8" xfId="1" applyFont="1" applyBorder="1"/>
    <xf numFmtId="0" fontId="0" fillId="0" borderId="0" xfId="0" applyAlignment="1">
      <alignment horizontal="center"/>
    </xf>
    <xf numFmtId="0" fontId="0" fillId="4" borderId="28" xfId="0" applyFill="1" applyBorder="1" applyAlignment="1" applyProtection="1">
      <alignment horizontal="center" vertical="center"/>
      <protection locked="0"/>
    </xf>
    <xf numFmtId="1" fontId="12" fillId="7" borderId="22" xfId="4" applyNumberFormat="1" applyFont="1" applyFill="1" applyBorder="1" applyAlignment="1" applyProtection="1">
      <alignment vertical="center"/>
      <protection hidden="1"/>
    </xf>
    <xf numFmtId="0" fontId="0" fillId="0" borderId="0" xfId="0" applyProtection="1"/>
    <xf numFmtId="0" fontId="0" fillId="9" borderId="0" xfId="0" applyFill="1" applyProtection="1"/>
    <xf numFmtId="0" fontId="4" fillId="2" borderId="24" xfId="2" applyFont="1" applyFill="1" applyBorder="1" applyAlignment="1" applyProtection="1">
      <alignment horizontal="center" vertical="center"/>
    </xf>
    <xf numFmtId="0" fontId="3" fillId="5" borderId="25" xfId="2" applyFont="1" applyFill="1" applyBorder="1" applyAlignment="1" applyProtection="1">
      <alignment horizontal="right" vertical="center"/>
    </xf>
    <xf numFmtId="0" fontId="14" fillId="5" borderId="26" xfId="0" applyFont="1" applyFill="1" applyBorder="1" applyAlignment="1" applyProtection="1">
      <alignment horizontal="center" vertical="center"/>
    </xf>
    <xf numFmtId="0" fontId="3" fillId="8" borderId="0" xfId="0" applyFont="1" applyFill="1" applyBorder="1" applyAlignment="1" applyProtection="1">
      <alignment horizontal="center" vertical="center"/>
    </xf>
    <xf numFmtId="0" fontId="0" fillId="3" borderId="25" xfId="0" applyFill="1" applyBorder="1" applyAlignment="1" applyProtection="1">
      <alignment horizontal="center" vertical="center"/>
    </xf>
    <xf numFmtId="0" fontId="15" fillId="3" borderId="0" xfId="0" applyFont="1" applyFill="1" applyAlignment="1" applyProtection="1">
      <alignment horizontal="center" vertical="center"/>
    </xf>
    <xf numFmtId="0" fontId="0" fillId="3" borderId="15" xfId="0" applyFill="1" applyBorder="1" applyAlignment="1" applyProtection="1">
      <alignment horizontal="center" vertical="center"/>
    </xf>
    <xf numFmtId="0" fontId="15" fillId="3" borderId="16" xfId="0" applyFont="1" applyFill="1" applyBorder="1" applyAlignment="1" applyProtection="1">
      <alignment horizontal="center" vertical="center"/>
    </xf>
    <xf numFmtId="0" fontId="0" fillId="4" borderId="25" xfId="0" applyFill="1" applyBorder="1" applyAlignment="1" applyProtection="1">
      <alignment horizontal="center" vertical="center"/>
    </xf>
    <xf numFmtId="0" fontId="3" fillId="8" borderId="15" xfId="0" applyFont="1" applyFill="1" applyBorder="1" applyAlignment="1" applyProtection="1">
      <alignment horizontal="right" vertical="center"/>
    </xf>
    <xf numFmtId="0" fontId="15" fillId="8" borderId="16" xfId="0" applyFont="1" applyFill="1" applyBorder="1" applyAlignment="1" applyProtection="1">
      <alignment horizontal="center" vertical="center"/>
    </xf>
    <xf numFmtId="0" fontId="16" fillId="8" borderId="16" xfId="0" applyFont="1" applyFill="1" applyBorder="1" applyAlignment="1" applyProtection="1">
      <alignment horizontal="center" vertical="center"/>
    </xf>
    <xf numFmtId="0" fontId="19" fillId="0" borderId="25" xfId="0" applyFont="1" applyBorder="1" applyAlignment="1" applyProtection="1">
      <alignment horizontal="left" vertical="top"/>
    </xf>
    <xf numFmtId="0" fontId="0" fillId="7" borderId="26" xfId="0" applyFont="1" applyFill="1" applyBorder="1" applyAlignment="1" applyProtection="1">
      <alignment horizontal="center" vertical="center"/>
    </xf>
    <xf numFmtId="0" fontId="0" fillId="0" borderId="34" xfId="0" applyBorder="1" applyProtection="1"/>
    <xf numFmtId="0" fontId="8" fillId="7" borderId="34" xfId="0" applyFont="1" applyFill="1" applyBorder="1" applyAlignment="1" applyProtection="1">
      <alignment horizontal="right" vertical="center"/>
    </xf>
    <xf numFmtId="0" fontId="8" fillId="7" borderId="20" xfId="0" applyFont="1" applyFill="1" applyBorder="1" applyAlignment="1" applyProtection="1">
      <alignment horizontal="right" vertical="center"/>
    </xf>
    <xf numFmtId="0" fontId="8" fillId="9" borderId="0" xfId="0" applyFont="1" applyFill="1" applyBorder="1" applyAlignment="1" applyProtection="1">
      <alignment horizontal="right" vertical="center"/>
    </xf>
    <xf numFmtId="0" fontId="8" fillId="9" borderId="0" xfId="0" applyFont="1" applyFill="1" applyBorder="1" applyAlignment="1" applyProtection="1">
      <alignment horizontal="left" vertical="center"/>
    </xf>
    <xf numFmtId="0" fontId="8" fillId="0" borderId="0" xfId="0" applyFont="1" applyBorder="1" applyAlignment="1" applyProtection="1"/>
    <xf numFmtId="0" fontId="0" fillId="0" borderId="0" xfId="0" applyBorder="1" applyProtection="1"/>
    <xf numFmtId="0" fontId="7" fillId="0" borderId="0" xfId="0" applyFont="1" applyFill="1" applyBorder="1" applyAlignment="1" applyProtection="1">
      <alignment horizontal="right" vertical="center"/>
    </xf>
    <xf numFmtId="0" fontId="15" fillId="8" borderId="0" xfId="0" applyFont="1" applyFill="1" applyBorder="1" applyAlignment="1" applyProtection="1">
      <alignment horizontal="center" vertical="center"/>
    </xf>
    <xf numFmtId="0" fontId="12" fillId="9" borderId="21" xfId="0" applyFont="1" applyFill="1" applyBorder="1" applyAlignment="1" applyProtection="1">
      <alignment vertical="center"/>
    </xf>
    <xf numFmtId="0" fontId="12" fillId="9" borderId="12" xfId="0" applyFont="1" applyFill="1" applyBorder="1" applyAlignment="1" applyProtection="1">
      <alignment vertical="center"/>
    </xf>
    <xf numFmtId="0" fontId="0" fillId="9" borderId="0" xfId="0" applyFill="1" applyBorder="1" applyProtection="1"/>
    <xf numFmtId="0" fontId="0" fillId="11" borderId="0" xfId="0" applyFill="1" applyProtection="1"/>
    <xf numFmtId="0" fontId="22" fillId="13" borderId="29" xfId="0" applyFont="1" applyFill="1" applyBorder="1" applyAlignment="1" applyProtection="1">
      <alignment vertical="center"/>
    </xf>
    <xf numFmtId="0" fontId="8" fillId="11" borderId="0" xfId="0" applyFont="1" applyFill="1" applyBorder="1" applyAlignment="1" applyProtection="1">
      <alignment horizontal="right" vertical="center"/>
    </xf>
    <xf numFmtId="0" fontId="8" fillId="11" borderId="0" xfId="0" applyFont="1" applyFill="1" applyBorder="1" applyAlignment="1" applyProtection="1">
      <alignment horizontal="left" vertical="center"/>
    </xf>
    <xf numFmtId="0" fontId="3" fillId="8" borderId="0" xfId="0" applyFont="1" applyFill="1" applyAlignment="1" applyProtection="1">
      <alignment horizontal="center" vertical="center"/>
    </xf>
    <xf numFmtId="0" fontId="0" fillId="13" borderId="29" xfId="0" applyFill="1" applyBorder="1" applyAlignment="1" applyProtection="1">
      <alignment horizontal="left" vertical="center" wrapText="1"/>
    </xf>
    <xf numFmtId="0" fontId="0" fillId="0" borderId="0" xfId="0" applyAlignment="1" applyProtection="1">
      <alignment horizontal="right"/>
    </xf>
    <xf numFmtId="0" fontId="0" fillId="0" borderId="0" xfId="0" applyFill="1" applyBorder="1" applyProtection="1"/>
    <xf numFmtId="0" fontId="15" fillId="0" borderId="0" xfId="0" applyFont="1" applyFill="1" applyBorder="1" applyAlignment="1" applyProtection="1">
      <alignment horizontal="center" vertical="center"/>
    </xf>
    <xf numFmtId="0" fontId="0" fillId="11" borderId="0" xfId="0" applyFill="1" applyBorder="1" applyProtection="1"/>
    <xf numFmtId="0" fontId="0" fillId="3" borderId="25" xfId="0" applyFont="1" applyFill="1" applyBorder="1" applyAlignment="1" applyProtection="1">
      <alignment horizontal="center" vertical="center"/>
    </xf>
    <xf numFmtId="0" fontId="0" fillId="3" borderId="25" xfId="0" applyFont="1" applyFill="1" applyBorder="1" applyAlignment="1" applyProtection="1">
      <alignment horizontal="center" vertical="center" wrapText="1"/>
    </xf>
    <xf numFmtId="0" fontId="0" fillId="4" borderId="25" xfId="0" applyFont="1" applyFill="1" applyBorder="1" applyAlignment="1" applyProtection="1">
      <alignment horizontal="center" vertical="center"/>
    </xf>
    <xf numFmtId="0" fontId="0" fillId="10" borderId="0" xfId="0" applyFill="1" applyProtection="1"/>
    <xf numFmtId="0" fontId="0" fillId="10" borderId="0" xfId="0" applyFill="1" applyBorder="1" applyProtection="1"/>
    <xf numFmtId="0" fontId="8" fillId="10" borderId="0" xfId="0" applyFont="1" applyFill="1" applyBorder="1" applyAlignment="1" applyProtection="1">
      <alignment horizontal="right" vertical="center"/>
    </xf>
    <xf numFmtId="0" fontId="8" fillId="10" borderId="0" xfId="0" applyFont="1" applyFill="1" applyBorder="1" applyAlignment="1" applyProtection="1">
      <alignment horizontal="left" vertical="center"/>
    </xf>
    <xf numFmtId="0" fontId="0" fillId="15" borderId="0" xfId="0" applyFill="1" applyProtection="1"/>
    <xf numFmtId="0" fontId="8" fillId="15" borderId="0" xfId="0" applyFont="1" applyFill="1" applyBorder="1" applyAlignment="1" applyProtection="1">
      <alignment horizontal="right" vertical="center"/>
    </xf>
    <xf numFmtId="0" fontId="8" fillId="15" borderId="0" xfId="0" applyFont="1" applyFill="1" applyBorder="1" applyAlignment="1" applyProtection="1">
      <alignment horizontal="left" vertical="center"/>
    </xf>
    <xf numFmtId="0" fontId="0" fillId="12" borderId="0" xfId="0" applyFill="1" applyProtection="1"/>
    <xf numFmtId="0" fontId="0" fillId="12" borderId="0" xfId="0" applyFill="1" applyBorder="1" applyProtection="1"/>
    <xf numFmtId="0" fontId="8" fillId="12" borderId="0" xfId="0" applyFont="1" applyFill="1" applyBorder="1" applyAlignment="1" applyProtection="1">
      <alignment horizontal="right" vertical="center"/>
    </xf>
    <xf numFmtId="0" fontId="8" fillId="12" borderId="0" xfId="0" applyFont="1" applyFill="1" applyBorder="1" applyAlignment="1" applyProtection="1">
      <alignment horizontal="left" vertical="center"/>
    </xf>
    <xf numFmtId="9" fontId="0" fillId="0" borderId="14" xfId="1" applyNumberFormat="1" applyFont="1" applyBorder="1" applyAlignment="1" applyProtection="1">
      <alignment horizontal="center" vertical="center"/>
      <protection hidden="1"/>
    </xf>
    <xf numFmtId="0" fontId="8" fillId="6" borderId="14" xfId="0" applyFont="1" applyFill="1" applyBorder="1" applyAlignment="1">
      <alignment horizontal="center"/>
    </xf>
    <xf numFmtId="9" fontId="8" fillId="0" borderId="14" xfId="1" applyNumberFormat="1" applyFont="1" applyBorder="1" applyAlignment="1" applyProtection="1">
      <alignment horizontal="center" vertical="center"/>
      <protection hidden="1"/>
    </xf>
    <xf numFmtId="0" fontId="0" fillId="0" borderId="0" xfId="0" applyBorder="1" applyAlignment="1">
      <alignment wrapText="1"/>
    </xf>
    <xf numFmtId="0" fontId="19" fillId="0" borderId="7" xfId="0" applyFont="1" applyBorder="1" applyAlignment="1">
      <alignment vertical="top" wrapText="1"/>
    </xf>
    <xf numFmtId="0" fontId="19" fillId="0" borderId="8" xfId="0" applyFont="1" applyBorder="1" applyAlignment="1">
      <alignment vertical="top" wrapText="1"/>
    </xf>
    <xf numFmtId="0" fontId="10" fillId="0" borderId="7" xfId="0" applyFont="1" applyBorder="1" applyAlignment="1"/>
    <xf numFmtId="0" fontId="10" fillId="0" borderId="0" xfId="0" applyFont="1" applyBorder="1" applyAlignment="1"/>
    <xf numFmtId="0" fontId="10" fillId="0" borderId="8" xfId="0" applyFont="1" applyBorder="1" applyAlignment="1"/>
    <xf numFmtId="0" fontId="9" fillId="0" borderId="0" xfId="3" applyProtection="1"/>
    <xf numFmtId="0" fontId="0" fillId="3" borderId="27" xfId="0" applyFill="1" applyBorder="1" applyAlignment="1" applyProtection="1">
      <alignment horizontal="center" vertical="center"/>
      <protection locked="0"/>
    </xf>
    <xf numFmtId="0" fontId="0" fillId="3" borderId="26" xfId="0" applyFill="1" applyBorder="1" applyAlignment="1" applyProtection="1">
      <alignment horizontal="center" vertical="center" wrapText="1"/>
      <protection locked="0"/>
    </xf>
    <xf numFmtId="0" fontId="0" fillId="4" borderId="27" xfId="0" applyFill="1" applyBorder="1" applyAlignment="1" applyProtection="1">
      <alignment horizontal="center" vertical="center"/>
      <protection locked="0"/>
    </xf>
    <xf numFmtId="0" fontId="0" fillId="3" borderId="27" xfId="0" applyFill="1" applyBorder="1" applyAlignment="1" applyProtection="1">
      <alignment horizontal="center" vertical="center" wrapText="1"/>
      <protection locked="0"/>
    </xf>
    <xf numFmtId="0" fontId="0" fillId="4" borderId="26" xfId="0" applyFill="1" applyBorder="1" applyAlignment="1" applyProtection="1">
      <alignment horizontal="center" vertical="center" wrapText="1"/>
      <protection locked="0"/>
    </xf>
    <xf numFmtId="0" fontId="19" fillId="0" borderId="33" xfId="0" applyFont="1" applyBorder="1" applyAlignment="1" applyProtection="1">
      <alignment horizontal="left" vertical="top"/>
    </xf>
    <xf numFmtId="0" fontId="0" fillId="7" borderId="32" xfId="0" applyFont="1" applyFill="1" applyBorder="1" applyAlignment="1" applyProtection="1">
      <alignment horizontal="center" vertical="center"/>
    </xf>
    <xf numFmtId="0" fontId="0" fillId="3" borderId="26"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0" fillId="0" borderId="14" xfId="0" applyBorder="1"/>
    <xf numFmtId="0" fontId="0" fillId="0" borderId="0" xfId="4" applyNumberFormat="1" applyFont="1"/>
    <xf numFmtId="0" fontId="0" fillId="3" borderId="14" xfId="0" applyFill="1" applyBorder="1" applyAlignment="1" applyProtection="1">
      <alignment horizontal="center" vertical="center"/>
    </xf>
    <xf numFmtId="0" fontId="3" fillId="8" borderId="14" xfId="0" applyFont="1" applyFill="1" applyBorder="1" applyAlignment="1" applyProtection="1">
      <alignment vertical="center"/>
    </xf>
    <xf numFmtId="2" fontId="16" fillId="8" borderId="16" xfId="0" applyNumberFormat="1" applyFont="1" applyFill="1" applyBorder="1" applyAlignment="1" applyProtection="1">
      <alignment horizontal="center" vertical="center"/>
    </xf>
    <xf numFmtId="9" fontId="16" fillId="8" borderId="16" xfId="1" applyNumberFormat="1" applyFont="1" applyFill="1" applyBorder="1" applyAlignment="1" applyProtection="1">
      <alignment horizontal="center" vertical="center"/>
    </xf>
    <xf numFmtId="0" fontId="8" fillId="18" borderId="14" xfId="0" applyFont="1" applyFill="1" applyBorder="1"/>
    <xf numFmtId="0" fontId="0" fillId="0" borderId="14" xfId="0" applyBorder="1" applyAlignment="1">
      <alignment horizontal="center" vertical="center"/>
    </xf>
    <xf numFmtId="0" fontId="0" fillId="0" borderId="14" xfId="0" quotePrefix="1" applyBorder="1" applyAlignment="1">
      <alignment horizontal="center" vertical="center"/>
    </xf>
    <xf numFmtId="1" fontId="0" fillId="0" borderId="14" xfId="0" applyNumberFormat="1" applyBorder="1" applyAlignment="1">
      <alignment horizontal="center" vertical="center"/>
    </xf>
    <xf numFmtId="9" fontId="0" fillId="0" borderId="14" xfId="0" applyNumberFormat="1" applyBorder="1" applyAlignment="1">
      <alignment horizontal="center" vertical="center"/>
    </xf>
    <xf numFmtId="0" fontId="0" fillId="0" borderId="35" xfId="0" applyBorder="1"/>
    <xf numFmtId="0" fontId="0" fillId="0" borderId="40" xfId="0" quotePrefix="1" applyBorder="1" applyAlignment="1">
      <alignment horizontal="center" vertical="center"/>
    </xf>
    <xf numFmtId="0" fontId="0" fillId="0" borderId="41" xfId="0" applyBorder="1" applyAlignment="1">
      <alignment horizontal="center" vertical="center"/>
    </xf>
    <xf numFmtId="0" fontId="0" fillId="6" borderId="14" xfId="0" applyFont="1" applyFill="1" applyBorder="1" applyAlignment="1" applyProtection="1">
      <alignment horizontal="center" vertical="center" wrapText="1"/>
      <protection locked="0"/>
    </xf>
    <xf numFmtId="0" fontId="0" fillId="0" borderId="0" xfId="0" applyAlignment="1">
      <alignment vertical="center" wrapText="1"/>
    </xf>
    <xf numFmtId="0" fontId="0" fillId="0" borderId="14" xfId="0" applyFill="1" applyBorder="1"/>
    <xf numFmtId="9" fontId="0" fillId="0" borderId="14" xfId="1" applyFont="1" applyBorder="1" applyAlignment="1">
      <alignment horizontal="center" vertical="center"/>
    </xf>
    <xf numFmtId="0" fontId="28" fillId="0" borderId="0" xfId="3" applyFont="1"/>
    <xf numFmtId="0" fontId="28" fillId="0" borderId="0" xfId="3" applyFont="1" applyFill="1"/>
    <xf numFmtId="0" fontId="0" fillId="0" borderId="0" xfId="0" applyFill="1"/>
    <xf numFmtId="0" fontId="8" fillId="0" borderId="0" xfId="0" applyFont="1" applyBorder="1" applyAlignment="1" applyProtection="1">
      <alignment horizontal="center"/>
    </xf>
    <xf numFmtId="0" fontId="13" fillId="9" borderId="0" xfId="0" applyFont="1" applyFill="1" applyAlignment="1" applyProtection="1">
      <alignment horizontal="center" vertical="center" wrapText="1"/>
    </xf>
    <xf numFmtId="0" fontId="13" fillId="10" borderId="0" xfId="0" applyFont="1" applyFill="1" applyAlignment="1" applyProtection="1">
      <alignment horizontal="center" vertical="center" wrapText="1"/>
    </xf>
    <xf numFmtId="0" fontId="13" fillId="11" borderId="0" xfId="0" applyFont="1" applyFill="1" applyAlignment="1" applyProtection="1">
      <alignment horizontal="center" vertical="center" wrapText="1"/>
    </xf>
    <xf numFmtId="0" fontId="13" fillId="15" borderId="0" xfId="0" applyFont="1" applyFill="1" applyAlignment="1" applyProtection="1">
      <alignment horizontal="center" vertical="center" wrapText="1"/>
    </xf>
    <xf numFmtId="0" fontId="13" fillId="12" borderId="0" xfId="0" applyFont="1" applyFill="1" applyAlignment="1" applyProtection="1">
      <alignment horizontal="center" vertical="center" wrapText="1"/>
    </xf>
    <xf numFmtId="0" fontId="8" fillId="6" borderId="0" xfId="0" applyFont="1" applyFill="1" applyBorder="1" applyAlignment="1">
      <alignment vertical="center"/>
    </xf>
    <xf numFmtId="0" fontId="7" fillId="0" borderId="0" xfId="0" applyFont="1" applyProtection="1"/>
    <xf numFmtId="0" fontId="0" fillId="0" borderId="0" xfId="0" applyAlignment="1" applyProtection="1">
      <alignment horizontal="center" wrapText="1"/>
    </xf>
    <xf numFmtId="0" fontId="25" fillId="0" borderId="0" xfId="0" applyFont="1" applyProtection="1"/>
    <xf numFmtId="0" fontId="17" fillId="0" borderId="0" xfId="0" applyFont="1" applyProtection="1"/>
    <xf numFmtId="0" fontId="0" fillId="6" borderId="14" xfId="0" applyFill="1" applyBorder="1" applyAlignment="1" applyProtection="1">
      <alignment horizontal="center" wrapText="1"/>
      <protection locked="0"/>
    </xf>
    <xf numFmtId="0" fontId="0" fillId="6" borderId="14" xfId="0" applyFont="1" applyFill="1" applyBorder="1" applyAlignment="1" applyProtection="1">
      <alignment horizontal="center"/>
      <protection locked="0"/>
    </xf>
    <xf numFmtId="0" fontId="0" fillId="6" borderId="23" xfId="0" applyFill="1" applyBorder="1" applyAlignment="1" applyProtection="1">
      <alignment horizontal="center" wrapText="1"/>
      <protection locked="0"/>
    </xf>
    <xf numFmtId="0" fontId="3" fillId="0" borderId="40" xfId="0" applyFont="1" applyFill="1" applyBorder="1" applyAlignment="1" applyProtection="1">
      <alignment horizontal="right" vertical="center"/>
    </xf>
    <xf numFmtId="0" fontId="16" fillId="0" borderId="36" xfId="0" applyFont="1" applyFill="1" applyBorder="1" applyAlignment="1" applyProtection="1">
      <alignment horizontal="center" vertical="center"/>
    </xf>
    <xf numFmtId="0" fontId="10" fillId="0" borderId="0" xfId="0" applyFont="1" applyAlignment="1" applyProtection="1">
      <alignment horizontal="right"/>
    </xf>
    <xf numFmtId="0" fontId="0" fillId="6" borderId="14" xfId="0" applyFill="1" applyBorder="1" applyAlignment="1" applyProtection="1">
      <alignment vertical="top" wrapText="1"/>
      <protection locked="0"/>
    </xf>
    <xf numFmtId="0" fontId="17" fillId="3" borderId="0" xfId="0" applyFont="1" applyFill="1" applyBorder="1" applyAlignment="1" applyProtection="1">
      <alignment horizontal="right"/>
    </xf>
    <xf numFmtId="0" fontId="20" fillId="3" borderId="0" xfId="0" applyFont="1" applyFill="1" applyBorder="1" applyAlignment="1" applyProtection="1">
      <alignment horizontal="center" wrapText="1"/>
    </xf>
    <xf numFmtId="0" fontId="17" fillId="3" borderId="0" xfId="0" applyFont="1" applyFill="1" applyAlignment="1" applyProtection="1">
      <alignment horizontal="right"/>
    </xf>
    <xf numFmtId="0" fontId="0" fillId="3" borderId="0" xfId="0" applyFill="1" applyProtection="1"/>
    <xf numFmtId="0" fontId="0" fillId="3" borderId="0" xfId="0" applyFill="1" applyAlignment="1" applyProtection="1">
      <alignment wrapText="1"/>
    </xf>
    <xf numFmtId="0" fontId="17" fillId="3" borderId="0" xfId="0" applyFont="1" applyFill="1" applyAlignment="1">
      <alignment horizontal="right" wrapText="1"/>
    </xf>
    <xf numFmtId="0" fontId="0" fillId="3" borderId="0" xfId="0" applyFill="1"/>
    <xf numFmtId="0" fontId="0" fillId="7" borderId="19" xfId="0" applyFill="1" applyBorder="1" applyAlignment="1">
      <alignment horizontal="center" vertical="center"/>
    </xf>
    <xf numFmtId="2" fontId="0" fillId="7" borderId="19" xfId="0" applyNumberFormat="1" applyFill="1" applyBorder="1" applyAlignment="1">
      <alignment horizontal="center" vertical="center"/>
    </xf>
    <xf numFmtId="9" fontId="0" fillId="7" borderId="19" xfId="1" applyFont="1" applyFill="1" applyBorder="1" applyAlignment="1" applyProtection="1">
      <alignment horizontal="center" vertical="center"/>
    </xf>
    <xf numFmtId="0" fontId="12" fillId="0" borderId="18" xfId="0" applyFont="1" applyBorder="1" applyAlignment="1">
      <alignment horizontal="center" vertical="center"/>
    </xf>
    <xf numFmtId="0" fontId="14" fillId="2" borderId="15" xfId="0" applyFont="1" applyFill="1" applyBorder="1" applyAlignment="1">
      <alignment horizontal="left" vertical="center"/>
    </xf>
    <xf numFmtId="0" fontId="14" fillId="2" borderId="42" xfId="0" applyFont="1" applyFill="1" applyBorder="1" applyAlignment="1">
      <alignment horizontal="left" vertical="center"/>
    </xf>
    <xf numFmtId="0" fontId="14" fillId="2" borderId="16" xfId="0" applyFont="1" applyFill="1" applyBorder="1" applyAlignment="1">
      <alignment horizontal="left" vertical="center"/>
    </xf>
    <xf numFmtId="0" fontId="0" fillId="6" borderId="40" xfId="0" applyFill="1" applyBorder="1" applyAlignment="1" applyProtection="1">
      <alignment vertical="top" wrapText="1"/>
      <protection locked="0"/>
    </xf>
    <xf numFmtId="0" fontId="0" fillId="6" borderId="43" xfId="0" applyFill="1" applyBorder="1" applyAlignment="1" applyProtection="1">
      <alignment vertical="top" wrapText="1"/>
      <protection locked="0"/>
    </xf>
    <xf numFmtId="0" fontId="0" fillId="6" borderId="41" xfId="0" applyFill="1" applyBorder="1" applyAlignment="1" applyProtection="1">
      <alignment vertical="top" wrapText="1"/>
      <protection locked="0"/>
    </xf>
    <xf numFmtId="0" fontId="0" fillId="6" borderId="44" xfId="0" applyFill="1" applyBorder="1" applyAlignment="1" applyProtection="1">
      <alignment vertical="top" wrapText="1"/>
      <protection locked="0"/>
    </xf>
    <xf numFmtId="0" fontId="0" fillId="6" borderId="45" xfId="0" applyFill="1" applyBorder="1" applyAlignment="1" applyProtection="1">
      <alignment vertical="top" wrapText="1"/>
      <protection locked="0"/>
    </xf>
    <xf numFmtId="0" fontId="0" fillId="6" borderId="35" xfId="0" applyFill="1" applyBorder="1" applyAlignment="1" applyProtection="1">
      <alignment vertical="top" wrapText="1"/>
      <protection locked="0"/>
    </xf>
    <xf numFmtId="0" fontId="0" fillId="6" borderId="15" xfId="0" applyFill="1" applyBorder="1" applyAlignment="1" applyProtection="1">
      <alignment vertical="top" wrapText="1"/>
      <protection locked="0"/>
    </xf>
    <xf numFmtId="0" fontId="0" fillId="6" borderId="16" xfId="0" applyFill="1" applyBorder="1" applyAlignment="1" applyProtection="1">
      <alignment vertical="top" wrapText="1"/>
      <protection locked="0"/>
    </xf>
    <xf numFmtId="0" fontId="14" fillId="2" borderId="14" xfId="0" applyFont="1" applyFill="1" applyBorder="1" applyAlignment="1" applyProtection="1">
      <alignment horizontal="left"/>
    </xf>
    <xf numFmtId="0" fontId="5" fillId="2" borderId="0" xfId="0" applyFont="1" applyFill="1" applyAlignment="1" applyProtection="1">
      <alignment horizontal="center" vertical="center"/>
    </xf>
    <xf numFmtId="0" fontId="17" fillId="0" borderId="0" xfId="0" applyFont="1" applyAlignment="1" applyProtection="1">
      <alignment horizontal="left" vertical="center" wrapText="1"/>
    </xf>
    <xf numFmtId="0" fontId="12" fillId="0" borderId="18" xfId="0" applyFont="1" applyBorder="1" applyAlignment="1" applyProtection="1">
      <alignment horizontal="center" vertical="center"/>
    </xf>
    <xf numFmtId="0" fontId="26" fillId="12" borderId="0" xfId="0" applyFont="1" applyFill="1" applyAlignment="1">
      <alignment horizontal="left" vertical="top" wrapText="1"/>
    </xf>
    <xf numFmtId="0" fontId="5" fillId="2" borderId="0" xfId="0" applyFont="1" applyFill="1" applyAlignment="1">
      <alignment horizontal="center" vertical="center"/>
    </xf>
    <xf numFmtId="0" fontId="17" fillId="0" borderId="0" xfId="0" applyFont="1" applyAlignment="1">
      <alignment horizontal="center"/>
    </xf>
    <xf numFmtId="0" fontId="12" fillId="9" borderId="0" xfId="0" applyFont="1" applyFill="1" applyAlignment="1">
      <alignment horizontal="left" vertical="top" wrapText="1"/>
    </xf>
    <xf numFmtId="0" fontId="26" fillId="10" borderId="0" xfId="0" applyFont="1" applyFill="1" applyAlignment="1">
      <alignment horizontal="left" vertical="top" wrapText="1"/>
    </xf>
    <xf numFmtId="0" fontId="26" fillId="11" borderId="0" xfId="0" applyFont="1" applyFill="1" applyAlignment="1">
      <alignment horizontal="left" vertical="top" wrapText="1"/>
    </xf>
    <xf numFmtId="0" fontId="27" fillId="19" borderId="0" xfId="0" applyFont="1" applyFill="1" applyAlignment="1">
      <alignment horizontal="left" vertical="top" wrapText="1"/>
    </xf>
    <xf numFmtId="0" fontId="8" fillId="0" borderId="18" xfId="0" applyFont="1" applyBorder="1" applyAlignment="1" applyProtection="1">
      <alignment horizontal="center"/>
    </xf>
    <xf numFmtId="0" fontId="3" fillId="8" borderId="14" xfId="0" applyFont="1" applyFill="1" applyBorder="1" applyAlignment="1" applyProtection="1">
      <alignment horizontal="center" vertical="center"/>
    </xf>
    <xf numFmtId="0" fontId="8" fillId="0" borderId="0" xfId="0" applyFont="1" applyBorder="1" applyAlignment="1" applyProtection="1">
      <alignment horizontal="center"/>
    </xf>
    <xf numFmtId="0" fontId="0" fillId="13" borderId="29" xfId="0" applyFont="1" applyFill="1" applyBorder="1" applyAlignment="1" applyProtection="1">
      <alignment horizontal="left" vertical="center" wrapText="1"/>
    </xf>
    <xf numFmtId="0" fontId="1" fillId="13" borderId="29" xfId="0" applyFont="1" applyFill="1" applyBorder="1" applyAlignment="1" applyProtection="1">
      <alignment horizontal="left" vertical="center" wrapText="1"/>
    </xf>
    <xf numFmtId="0" fontId="1" fillId="13" borderId="26" xfId="0" applyFont="1" applyFill="1" applyBorder="1" applyAlignment="1" applyProtection="1">
      <alignment horizontal="left" vertical="center" wrapText="1"/>
    </xf>
    <xf numFmtId="0" fontId="0" fillId="3" borderId="29" xfId="0" applyFill="1" applyBorder="1" applyAlignment="1" applyProtection="1">
      <alignment horizontal="left" vertical="center" wrapText="1"/>
    </xf>
    <xf numFmtId="0" fontId="0" fillId="4" borderId="29" xfId="0" applyFill="1" applyBorder="1" applyAlignment="1" applyProtection="1">
      <alignment horizontal="left" vertical="center" wrapText="1"/>
    </xf>
    <xf numFmtId="0" fontId="6" fillId="2" borderId="30" xfId="0" applyFont="1" applyFill="1" applyBorder="1" applyAlignment="1" applyProtection="1">
      <alignment horizontal="center" vertical="center" wrapText="1"/>
    </xf>
    <xf numFmtId="0" fontId="6" fillId="2" borderId="31" xfId="0" applyFont="1" applyFill="1" applyBorder="1" applyAlignment="1" applyProtection="1">
      <alignment horizontal="center" vertical="center" wrapText="1"/>
    </xf>
    <xf numFmtId="0" fontId="0" fillId="3" borderId="29" xfId="0" applyFont="1" applyFill="1" applyBorder="1" applyAlignment="1" applyProtection="1">
      <alignment horizontal="left" vertical="center" wrapText="1"/>
    </xf>
    <xf numFmtId="0" fontId="1" fillId="3" borderId="29" xfId="0" applyFont="1" applyFill="1" applyBorder="1" applyAlignment="1" applyProtection="1">
      <alignment horizontal="left" vertical="center" wrapText="1"/>
    </xf>
    <xf numFmtId="0" fontId="1" fillId="3" borderId="26" xfId="0" applyFont="1" applyFill="1" applyBorder="1" applyAlignment="1" applyProtection="1">
      <alignment horizontal="left" vertical="center" wrapText="1"/>
    </xf>
    <xf numFmtId="0" fontId="14" fillId="5" borderId="25" xfId="0"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21" fillId="0" borderId="0" xfId="0" applyFont="1" applyAlignment="1" applyProtection="1">
      <alignment horizontal="center" vertical="center"/>
    </xf>
    <xf numFmtId="0" fontId="13" fillId="9" borderId="0" xfId="0" applyFont="1" applyFill="1" applyAlignment="1" applyProtection="1">
      <alignment horizontal="center" vertical="center" wrapText="1"/>
    </xf>
    <xf numFmtId="0" fontId="13" fillId="10" borderId="0" xfId="0" applyFont="1" applyFill="1" applyAlignment="1" applyProtection="1">
      <alignment horizontal="center" vertical="center" wrapText="1"/>
    </xf>
    <xf numFmtId="0" fontId="0" fillId="4" borderId="2" xfId="0" applyFont="1" applyFill="1" applyBorder="1" applyAlignment="1" applyProtection="1">
      <alignment horizontal="left" vertical="center" wrapText="1"/>
    </xf>
    <xf numFmtId="0" fontId="0" fillId="4" borderId="3" xfId="0" applyFont="1" applyFill="1" applyBorder="1" applyAlignment="1" applyProtection="1">
      <alignment horizontal="left" vertical="center" wrapText="1"/>
    </xf>
    <xf numFmtId="0" fontId="0" fillId="4" borderId="13" xfId="0" applyFont="1" applyFill="1" applyBorder="1" applyAlignment="1" applyProtection="1">
      <alignment horizontal="left" vertical="center" wrapText="1"/>
    </xf>
    <xf numFmtId="0" fontId="0" fillId="3" borderId="2" xfId="0" applyFont="1" applyFill="1" applyBorder="1" applyAlignment="1" applyProtection="1">
      <alignment horizontal="left" vertical="center" wrapText="1"/>
    </xf>
    <xf numFmtId="0" fontId="0" fillId="3" borderId="3" xfId="0" applyFont="1" applyFill="1" applyBorder="1" applyAlignment="1" applyProtection="1">
      <alignment horizontal="left" vertical="center" wrapText="1"/>
    </xf>
    <xf numFmtId="0" fontId="0" fillId="3" borderId="13" xfId="0" applyFont="1" applyFill="1" applyBorder="1" applyAlignment="1" applyProtection="1">
      <alignment horizontal="left" vertical="center" wrapText="1"/>
    </xf>
    <xf numFmtId="0" fontId="0" fillId="4" borderId="2" xfId="0" applyFill="1" applyBorder="1" applyAlignment="1" applyProtection="1">
      <alignment horizontal="left" vertical="center" wrapText="1"/>
    </xf>
    <xf numFmtId="0" fontId="0" fillId="4" borderId="3" xfId="0" applyFill="1" applyBorder="1" applyAlignment="1" applyProtection="1">
      <alignment horizontal="left" vertical="center" wrapText="1"/>
    </xf>
    <xf numFmtId="0" fontId="0" fillId="4" borderId="13" xfId="0" applyFill="1" applyBorder="1" applyAlignment="1" applyProtection="1">
      <alignment horizontal="left" vertical="center" wrapText="1"/>
    </xf>
    <xf numFmtId="0" fontId="22" fillId="5" borderId="25" xfId="0" applyFont="1" applyFill="1" applyBorder="1" applyAlignment="1" applyProtection="1">
      <alignment horizontal="left" vertical="center"/>
    </xf>
    <xf numFmtId="0" fontId="22" fillId="5" borderId="29" xfId="0" applyFont="1" applyFill="1" applyBorder="1" applyAlignment="1" applyProtection="1">
      <alignment horizontal="left" vertical="center"/>
    </xf>
    <xf numFmtId="0" fontId="22" fillId="5" borderId="26" xfId="0" applyFont="1" applyFill="1" applyBorder="1" applyAlignment="1" applyProtection="1">
      <alignment horizontal="left" vertical="center"/>
    </xf>
    <xf numFmtId="0" fontId="8" fillId="14" borderId="2" xfId="0" applyFont="1" applyFill="1" applyBorder="1" applyAlignment="1" applyProtection="1">
      <alignment horizontal="right" vertical="center"/>
    </xf>
    <xf numFmtId="0" fontId="8" fillId="14" borderId="13" xfId="0" applyFont="1" applyFill="1" applyBorder="1" applyAlignment="1" applyProtection="1">
      <alignment horizontal="right" vertical="center"/>
    </xf>
    <xf numFmtId="0" fontId="8" fillId="14" borderId="38" xfId="0" applyFont="1" applyFill="1" applyBorder="1" applyAlignment="1" applyProtection="1">
      <alignment horizontal="right" vertical="center"/>
    </xf>
    <xf numFmtId="0" fontId="8" fillId="14" borderId="39" xfId="0" applyFont="1" applyFill="1" applyBorder="1" applyAlignment="1" applyProtection="1">
      <alignment horizontal="right" vertical="center"/>
    </xf>
    <xf numFmtId="0" fontId="13" fillId="11" borderId="0" xfId="0" applyFont="1" applyFill="1" applyAlignment="1" applyProtection="1">
      <alignment horizontal="center" vertical="center" wrapText="1"/>
    </xf>
    <xf numFmtId="0" fontId="3" fillId="8" borderId="15" xfId="0" applyFont="1" applyFill="1" applyBorder="1" applyAlignment="1" applyProtection="1">
      <alignment horizontal="center" vertical="center"/>
    </xf>
    <xf numFmtId="0" fontId="3" fillId="8" borderId="16" xfId="0" applyFont="1" applyFill="1" applyBorder="1" applyAlignment="1" applyProtection="1">
      <alignment horizontal="center" vertical="center"/>
    </xf>
    <xf numFmtId="0" fontId="8" fillId="14" borderId="3" xfId="0" applyFont="1" applyFill="1" applyBorder="1" applyAlignment="1" applyProtection="1">
      <alignment horizontal="right" vertical="center"/>
    </xf>
    <xf numFmtId="0" fontId="8" fillId="7" borderId="38" xfId="0" applyFont="1" applyFill="1" applyBorder="1" applyAlignment="1" applyProtection="1">
      <alignment horizontal="right" vertical="center"/>
    </xf>
    <xf numFmtId="0" fontId="8" fillId="7" borderId="39" xfId="0" applyFont="1" applyFill="1" applyBorder="1" applyAlignment="1" applyProtection="1">
      <alignment horizontal="right" vertical="center"/>
    </xf>
    <xf numFmtId="0" fontId="3" fillId="8" borderId="23" xfId="0" applyFont="1" applyFill="1" applyBorder="1" applyAlignment="1" applyProtection="1">
      <alignment horizontal="center" vertical="center"/>
    </xf>
    <xf numFmtId="0" fontId="0" fillId="4" borderId="29" xfId="0" applyFont="1" applyFill="1" applyBorder="1" applyAlignment="1" applyProtection="1">
      <alignment horizontal="left" vertical="center" wrapText="1"/>
    </xf>
    <xf numFmtId="0" fontId="0" fillId="3" borderId="37" xfId="0" applyFont="1" applyFill="1" applyBorder="1" applyAlignment="1" applyProtection="1">
      <alignment horizontal="left" vertical="center" wrapText="1"/>
    </xf>
    <xf numFmtId="0" fontId="13" fillId="15" borderId="0" xfId="0" applyFont="1" applyFill="1" applyAlignment="1" applyProtection="1">
      <alignment horizontal="center" vertical="center" wrapText="1"/>
    </xf>
    <xf numFmtId="0" fontId="13" fillId="12" borderId="0" xfId="0" applyFont="1" applyFill="1" applyAlignment="1" applyProtection="1">
      <alignment horizontal="center" vertical="center" wrapText="1"/>
    </xf>
    <xf numFmtId="0" fontId="29" fillId="0" borderId="0" xfId="0" applyFont="1" applyAlignment="1">
      <alignment horizontal="left" vertical="top"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0" fillId="17" borderId="7" xfId="0" applyFill="1" applyBorder="1" applyAlignment="1">
      <alignment horizontal="center"/>
    </xf>
    <xf numFmtId="0" fontId="0" fillId="17" borderId="0" xfId="0" applyFill="1" applyBorder="1" applyAlignment="1">
      <alignment horizontal="center"/>
    </xf>
    <xf numFmtId="0" fontId="0" fillId="17" borderId="8" xfId="0" applyFill="1" applyBorder="1" applyAlignment="1">
      <alignment horizontal="center"/>
    </xf>
    <xf numFmtId="0" fontId="0" fillId="0" borderId="7" xfId="0" applyBorder="1"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0" fontId="0" fillId="0" borderId="14" xfId="0" applyFill="1" applyBorder="1" applyAlignment="1">
      <alignment horizontal="right" vertical="center"/>
    </xf>
    <xf numFmtId="0" fontId="8" fillId="0" borderId="14" xfId="0" applyFont="1" applyFill="1" applyBorder="1" applyAlignment="1">
      <alignment horizontal="right" vertical="center"/>
    </xf>
    <xf numFmtId="0" fontId="18" fillId="0" borderId="0" xfId="0" applyFont="1" applyBorder="1" applyAlignment="1">
      <alignment horizontal="center" vertical="top" wrapText="1"/>
    </xf>
    <xf numFmtId="0" fontId="8" fillId="16" borderId="14" xfId="0" applyFont="1" applyFill="1" applyBorder="1" applyAlignment="1">
      <alignment horizontal="center"/>
    </xf>
    <xf numFmtId="0" fontId="0" fillId="0" borderId="14" xfId="0" applyBorder="1" applyAlignment="1">
      <alignment horizontal="right" vertical="center"/>
    </xf>
    <xf numFmtId="0" fontId="18" fillId="0" borderId="36" xfId="0" applyFont="1" applyFill="1" applyBorder="1" applyAlignment="1">
      <alignment horizontal="right" vertical="top" wrapText="1"/>
    </xf>
    <xf numFmtId="0" fontId="23" fillId="0" borderId="36" xfId="0" applyFont="1" applyFill="1" applyBorder="1" applyAlignment="1">
      <alignment horizontal="right" vertical="top" wrapText="1"/>
    </xf>
    <xf numFmtId="0" fontId="8" fillId="6" borderId="0" xfId="0" applyFont="1" applyFill="1" applyBorder="1" applyAlignment="1">
      <alignment horizontal="left" vertical="center"/>
    </xf>
    <xf numFmtId="0" fontId="30" fillId="2" borderId="0" xfId="0" applyFont="1" applyFill="1" applyBorder="1" applyAlignment="1">
      <alignment horizontal="center" vertical="center"/>
    </xf>
  </cellXfs>
  <cellStyles count="5">
    <cellStyle name="Comma" xfId="4" builtinId="3"/>
    <cellStyle name="Heading 2" xfId="2" builtinId="17"/>
    <cellStyle name="Hyperlink" xfId="3" builtinId="8"/>
    <cellStyle name="Normal" xfId="0" builtinId="0"/>
    <cellStyle name="Percent" xfId="1" builtinId="5"/>
  </cellStyles>
  <dxfs count="1">
    <dxf>
      <numFmt numFmtId="0" formatCode="General"/>
    </dxf>
  </dxfs>
  <tableStyles count="0" defaultTableStyle="TableStyleMedium2" defaultPivotStyle="PivotStyleLight16"/>
  <colors>
    <mruColors>
      <color rgb="FF005677"/>
      <color rgb="FFD9E1F2"/>
      <color rgb="FFFFF4A4"/>
      <color rgb="FFFFEEBF"/>
      <color rgb="FFFFFD78"/>
      <color rgb="FF338EDD"/>
      <color rgb="FFA8D08D"/>
      <color rgb="FF0075A4"/>
      <color rgb="FFF4B083"/>
      <color rgb="FFC9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3175</xdr:colOff>
      <xdr:row>0</xdr:row>
      <xdr:rowOff>63498</xdr:rowOff>
    </xdr:from>
    <xdr:to>
      <xdr:col>1</xdr:col>
      <xdr:colOff>1459998</xdr:colOff>
      <xdr:row>1</xdr:row>
      <xdr:rowOff>324564</xdr:rowOff>
    </xdr:to>
    <xdr:pic>
      <xdr:nvPicPr>
        <xdr:cNvPr id="2" name="Picture 1">
          <a:extLst>
            <a:ext uri="{FF2B5EF4-FFF2-40B4-BE49-F238E27FC236}">
              <a16:creationId xmlns:a16="http://schemas.microsoft.com/office/drawing/2014/main" id="{B22DBC72-3B3A-4916-B6FC-B909D5838DA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778" b="18030"/>
        <a:stretch/>
      </xdr:blipFill>
      <xdr:spPr bwMode="auto">
        <a:xfrm>
          <a:off x="214842" y="63498"/>
          <a:ext cx="1456823" cy="631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556072</xdr:colOff>
      <xdr:row>15</xdr:row>
      <xdr:rowOff>32482</xdr:rowOff>
    </xdr:from>
    <xdr:to>
      <xdr:col>4</xdr:col>
      <xdr:colOff>988126</xdr:colOff>
      <xdr:row>15</xdr:row>
      <xdr:rowOff>658595</xdr:rowOff>
    </xdr:to>
    <xdr:pic>
      <xdr:nvPicPr>
        <xdr:cNvPr id="2" name="Picture 1">
          <a:extLst>
            <a:ext uri="{FF2B5EF4-FFF2-40B4-BE49-F238E27FC236}">
              <a16:creationId xmlns:a16="http://schemas.microsoft.com/office/drawing/2014/main" id="{53581AFC-B9D2-4E41-99EA-416B4FA95F7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778" b="18030"/>
        <a:stretch/>
      </xdr:blipFill>
      <xdr:spPr bwMode="auto">
        <a:xfrm>
          <a:off x="2505896" y="4148776"/>
          <a:ext cx="1455524" cy="626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6AF16A8E-7E57-476C-878A-F1AAC71BD9DE}" name="PerfLevels" displayName="PerfLevels" ref="B5:D9" totalsRowShown="0">
  <autoFilter ref="B5:D9" xr:uid="{34C6EADE-702A-4EA9-9405-AC0224517E69}"/>
  <tableColumns count="3">
    <tableColumn id="1" xr3:uid="{11615875-7C6E-4EDF-9F34-001814830411}" name="ID"/>
    <tableColumn id="2" xr3:uid="{71E4DA66-0516-490E-8038-20A672B17A7E}" name="Level name"/>
    <tableColumn id="3" xr3:uid="{56C4447D-C550-4190-AD80-231721C4841D}" name="Points"/>
  </tableColumns>
  <tableStyleInfo name="TableStyleMedium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265FB11F-7E41-493C-A125-0FC782F3C6D1}" name="AnswersES21" displayName="AnswersES21" ref="K50:L53" totalsRowShown="0">
  <autoFilter ref="K50:L53" xr:uid="{05EF3CF0-5944-4023-AEB0-A8E35EAC8B4E}"/>
  <tableColumns count="2">
    <tableColumn id="1" xr3:uid="{347D1419-4416-4232-BF3D-AD7374C9DA98}" name="Choices"/>
    <tableColumn id="2" xr3:uid="{DA9565EE-3AB4-423E-9FF8-75A237E91E8B}" name="Value"/>
  </tableColumns>
  <tableStyleInfo name="TableStyleMedium1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B8B2949-C27B-4C6E-BB45-926EA21B9892}" name="AnswersES22" displayName="AnswersES22" ref="N50:O54" totalsRowShown="0">
  <autoFilter ref="N50:O54" xr:uid="{260516B3-264D-4846-9982-603AA12BA0C9}"/>
  <tableColumns count="2">
    <tableColumn id="1" xr3:uid="{0DBAA456-A976-4E2C-AB4D-DC35F528618D}" name="Choices"/>
    <tableColumn id="2" xr3:uid="{7251ED3A-83BB-4C27-BF00-51E69B9BA9F6}" name="Value"/>
  </tableColumns>
  <tableStyleInfo name="TableStyleMedium1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78586933-9381-4D78-B5FA-610BB1EF5250}" name="AnswersES23" displayName="AnswersES23" ref="Q50:R54" totalsRowShown="0">
  <autoFilter ref="Q50:R54" xr:uid="{8595470C-2782-43F9-AB2C-24CEB80F6803}"/>
  <tableColumns count="2">
    <tableColumn id="1" xr3:uid="{0447AFEC-7461-49B2-8F1B-74953004BDC4}" name="Choices"/>
    <tableColumn id="2" xr3:uid="{F4DFEEDF-9905-4B1B-8703-C5CB3FF636C9}" name="Value"/>
  </tableColumns>
  <tableStyleInfo name="TableStyleMedium1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6D9C75A2-215D-47CE-9BD1-3C3BC50FFD48}" name="AnswersES24" displayName="AnswersES24" ref="T50:U54" totalsRowShown="0">
  <autoFilter ref="T50:U54" xr:uid="{4E074083-498D-484E-B983-3F6EC131DBC9}"/>
  <tableColumns count="2">
    <tableColumn id="1" xr3:uid="{FB51BC76-C976-4D9C-BFF7-B3215EA08208}" name="Choices"/>
    <tableColumn id="2" xr3:uid="{341BECA5-655C-4225-A633-C148CEA94776}" name="Value"/>
  </tableColumns>
  <tableStyleInfo name="TableStyleMedium1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2A5061BD-8EC3-4C3F-9B4F-1E6AFA32196C}" name="AnswersES25" displayName="AnswersES25" ref="W50:X54" totalsRowShown="0">
  <autoFilter ref="W50:X54" xr:uid="{CCAA743F-D547-4B33-A272-EAB52C0BA44C}"/>
  <tableColumns count="2">
    <tableColumn id="1" xr3:uid="{DFBF1AA2-6A18-492E-8C73-13CDD283E7E0}" name="Choices"/>
    <tableColumn id="2" xr3:uid="{AA6C0FCB-EDCE-4DE0-BE71-EEC69CC36C31}" name="Value"/>
  </tableColumns>
  <tableStyleInfo name="TableStyleMedium1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D1B0F6EF-2949-49E6-A703-5DC8DFA2BB37}" name="AnswersES26" displayName="AnswersES26" ref="Z50:AA54" totalsRowShown="0">
  <autoFilter ref="Z50:AA54" xr:uid="{4AC68270-FFAA-4657-8D8C-5594105AB495}"/>
  <tableColumns count="2">
    <tableColumn id="1" xr3:uid="{4D9E01D8-BDE5-4AAE-824E-F592CD462576}" name="Choices"/>
    <tableColumn id="2" xr3:uid="{45E606B3-6CB0-4FFE-AA64-EA798C1135F0}" name="Value"/>
  </tableColumns>
  <tableStyleInfo name="TableStyleMedium1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75FCE051-AD3B-4A17-8524-156051BFFD06}" name="AnswersES28" displayName="AnswersES28" ref="AC50:AD54" totalsRowShown="0">
  <autoFilter ref="AC50:AD54" xr:uid="{75EC8A9E-C1FB-453F-A5FD-6B5A9B0AEA62}"/>
  <tableColumns count="2">
    <tableColumn id="1" xr3:uid="{687444F4-9515-4702-9685-98D13D8A4A2B}" name="Choices"/>
    <tableColumn id="2" xr3:uid="{C82277E3-0A65-44B9-AD60-3332F55E9285}" name="Value"/>
  </tableColumns>
  <tableStyleInfo name="TableStyleMedium1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31283148-C35A-479E-B4D6-A5773B227577}" name="AnswersES33" displayName="AnswersES33" ref="AF50:AG54" totalsRowShown="0">
  <autoFilter ref="AF50:AG54" xr:uid="{5A24DB86-C965-45A8-839D-4DCA8C81C9B4}"/>
  <tableColumns count="2">
    <tableColumn id="1" xr3:uid="{D370DBC0-1F5A-47CE-9F25-C636F740D762}" name="Choices"/>
    <tableColumn id="2" xr3:uid="{DADED563-3F56-47E2-88CF-F0D69811AB81}" name="Value"/>
  </tableColumns>
  <tableStyleInfo name="TableStyleMedium1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C06E35E5-A259-458D-ADC9-50B6A7166CEE}" name="AnswersES41" displayName="AnswersES41" ref="AI50:AJ54" totalsRowShown="0">
  <autoFilter ref="AI50:AJ54" xr:uid="{E6EA9532-BE7B-40A7-8A1B-33B99C5E1D20}"/>
  <tableColumns count="2">
    <tableColumn id="1" xr3:uid="{9EBD227E-AD8C-48A2-B4B6-D04ECB175EF9}" name="Choices"/>
    <tableColumn id="2" xr3:uid="{46945C98-CB60-41B8-B75B-94CB20CA4457}" name="Value"/>
  </tableColumns>
  <tableStyleInfo name="TableStyleMedium1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C18F85C5-3B00-4790-B9DC-19FB2C92C4DD}" name="AnswersES42" displayName="AnswersES42" ref="AL50:AM53" totalsRowShown="0">
  <autoFilter ref="AL50:AM53" xr:uid="{C7B07E4C-F447-48F9-9E58-8CEA74E24EDC}"/>
  <tableColumns count="2">
    <tableColumn id="1" xr3:uid="{B8F980F9-9B5A-469A-BC7A-9D7C749446E6}" name="Choices"/>
    <tableColumn id="2" xr3:uid="{FA431F4A-F68A-486C-BF6E-9E80F7A383D8}" name="Value"/>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911DB25B-7C2C-454B-AC49-694A557671CE}" name="AnswersGen" displayName="AnswersGen" ref="B32:C34" totalsRowShown="0">
  <autoFilter ref="B32:C34" xr:uid="{DFF89BF3-8603-4D97-A971-4C4ADE922F83}"/>
  <tableColumns count="2">
    <tableColumn id="1" xr3:uid="{CD818BC1-4017-432C-9359-86B650400680}" name="Choices"/>
    <tableColumn id="2" xr3:uid="{6FA6122F-A5D6-4861-B726-CF32E4249931}" name="Value"/>
  </tableColumns>
  <tableStyleInfo name="TableStyleMedium1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3B7F6FE6-1A0F-4650-8D7C-C7D9C377BDDB}" name="AnswersRE21" displayName="AnswersRE21" ref="B57:C60" totalsRowShown="0">
  <autoFilter ref="B57:C60" xr:uid="{62E06D38-C14B-43C4-9632-3F0318A07FB1}"/>
  <tableColumns count="2">
    <tableColumn id="1" xr3:uid="{4558D902-A230-4BD3-A85C-16462D0F8622}" name="Choices"/>
    <tableColumn id="2" xr3:uid="{4188DA76-6DE3-4217-A091-F3819B5D5C17}" name="Value"/>
  </tableColumns>
  <tableStyleInfo name="TableStyleMedium1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7AD24E3A-21DB-4DD1-B72B-C57D932349AD}" name="AnswersSE12" displayName="AnswersSE12" ref="B63:C66" totalsRowShown="0">
  <autoFilter ref="B63:C66" xr:uid="{934891F3-BDEE-4A53-98FE-44527BEFA2F4}"/>
  <tableColumns count="2">
    <tableColumn id="1" xr3:uid="{7AD557AF-F2B3-41C8-AE15-EDF8028B7FD7}" name="Choices"/>
    <tableColumn id="2" xr3:uid="{371E4F9A-DCC7-4340-8404-58BA8CEBDE0B}" name="Value"/>
  </tableColumns>
  <tableStyleInfo name="TableStyleMedium1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1115611E-B4F4-447F-A0A3-13DB6DC66F74}" name="StatIntent" displayName="StatIntent" ref="B12:C16" totalsRowShown="0">
  <autoFilter ref="B12:C16" xr:uid="{86DA58AE-4CE2-46F3-A856-818EB186FBC4}"/>
  <tableColumns count="2">
    <tableColumn id="1" xr3:uid="{E1DB41AA-B4AD-4C81-85B4-DF1BFDE2F1B3}" name="Achievement"/>
    <tableColumn id="2" xr3:uid="{B0D13740-AD24-49A2-A682-9FEFD1662A41}" name="Points"/>
  </tableColumns>
  <tableStyleInfo name="TableStyleMedium1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D8EB2EED-9401-4FF3-A2BD-4D2304D59075}" name="ProjectStages" displayName="ProjectStages" ref="B19:C22" totalsRowShown="0">
  <autoFilter ref="B19:C22" xr:uid="{224BB2DE-10CC-48D2-9C2C-9DFACE9BCBD0}"/>
  <tableColumns count="2">
    <tableColumn id="1" xr3:uid="{9603C038-FA0B-4923-A74C-F6E664E29556}" name="ID"/>
    <tableColumn id="2" xr3:uid="{91A3F15D-D0FA-4962-9FB2-0222B745EEB7}" name="Stage"/>
  </tableColumns>
  <tableStyleInfo name="TableStyleMedium1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96410E-0BFD-471B-853D-8306E8436749}" name="Table1" displayName="Table1" ref="A2:F35" totalsRowShown="0">
  <autoFilter ref="A2:F35" xr:uid="{BE6CBEC8-FFE6-446B-B4C7-EC67345B0A8F}"/>
  <sortState xmlns:xlrd2="http://schemas.microsoft.com/office/spreadsheetml/2017/richdata2" ref="A3:D35">
    <sortCondition ref="A2:A35"/>
  </sortState>
  <tableColumns count="6">
    <tableColumn id="1" xr3:uid="{AF56E3A9-8526-4A7C-A741-3A2B4E659C34}" name="ID-Indicator"/>
    <tableColumn id="2" xr3:uid="{F9091A22-8AC8-4D3A-B15E-E9AA2C809071}" name="Yes"/>
    <tableColumn id="3" xr3:uid="{15587B9C-AF68-4B10-BDAA-BE30719D54C8}" name="No"/>
    <tableColumn id="4" xr3:uid="{4BAD72C1-7D3E-4F0A-8799-A11250509324}" name="NA"/>
    <tableColumn id="5" xr3:uid="{03FA17AD-9058-49F2-A9E0-918528C09F0E}" name="Strengths"/>
    <tableColumn id="6" xr3:uid="{46ED1EDE-4A40-419E-9EBF-B24C3ABB3076}" name="Improvements"/>
  </tableColumns>
  <tableStyleInfo name="TableStyleMedium1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B4BBBC4-A077-4981-BF5E-E9AFCBD00782}" name="Countries" displayName="Countries" ref="B2:D197" totalsRowShown="0">
  <autoFilter ref="B2:D197" xr:uid="{E2F19612-CD08-404E-A3F1-3FEBF285398D}"/>
  <sortState xmlns:xlrd2="http://schemas.microsoft.com/office/spreadsheetml/2017/richdata2" ref="B3:D196">
    <sortCondition ref="B2:B196"/>
  </sortState>
  <tableColumns count="3">
    <tableColumn id="2" xr3:uid="{9AA3F568-6869-4662-9DA5-021610059FF4}" name="Country"/>
    <tableColumn id="3" xr3:uid="{D8C9BCE8-38F0-4CBD-B9A2-F5470C7B24E0}" name="Category"/>
    <tableColumn id="4" xr3:uid="{AEBE363A-88C6-4DE0-B5D9-BECA6146A3DF}" name="Extra points" dataDxfId="0"/>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D78FE355-8030-444B-84B0-7DA21F958239}" name="AnswersNA" displayName="AnswersNA" ref="E32:F35" totalsRowShown="0">
  <autoFilter ref="E32:F35" xr:uid="{D416A091-71C0-4EC9-9BB3-C6FEEB648D3C}"/>
  <tableColumns count="2">
    <tableColumn id="1" xr3:uid="{858DB978-A342-4D3C-A226-BF3A94B73528}" name="Choices"/>
    <tableColumn id="2" xr3:uid="{DA7F4E24-495E-411B-AAC2-4EC6A7DE8955}" name="Value"/>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1E31E3F9-A694-412B-801B-D37E226FD4BF}" name="Biocategories" displayName="Biocategories" ref="B25:C28" totalsRowShown="0">
  <autoFilter ref="B25:C28" xr:uid="{9BF29CFD-A528-4695-8F70-F963C26528B8}"/>
  <tableColumns count="2">
    <tableColumn id="1" xr3:uid="{7FE0C2FF-E868-4670-B6AF-D89451A98522}" name="Categories"/>
    <tableColumn id="2" xr3:uid="{A850B463-16D0-4495-B1AD-462D5A2F745C}" name="Handicap"/>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E08C9489-45DF-4E7F-B12B-CDB66015EF06}" name="AnswersAE41" displayName="AnswersAE41" ref="B38:C41" totalsRowShown="0">
  <autoFilter ref="B38:C41" xr:uid="{E6FF8158-0E92-4EE3-A655-1A80DB1E3B5A}"/>
  <tableColumns count="2">
    <tableColumn id="1" xr3:uid="{1CFADA78-0FB6-461A-996D-F778E07FABBF}" name="Choices"/>
    <tableColumn id="2" xr3:uid="{6E840927-9D32-435D-88BB-96FD224531C0}" name="Value"/>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3623A249-92D4-4C4B-BB3B-035DC5375562}" name="AnswersEE11" displayName="AnswersEE11" ref="B44:C47" totalsRowShown="0">
  <autoFilter ref="B44:C47" xr:uid="{6DD9D3C2-7E99-44F4-9182-DEA5BA038E29}"/>
  <tableColumns count="2">
    <tableColumn id="1" xr3:uid="{8809CEA7-52F9-4A85-BB2D-07673685BFFD}" name="Choices"/>
    <tableColumn id="2" xr3:uid="{1F454999-A6B9-48C7-9973-C40EF9839C6F}" name="Value"/>
  </tableColumns>
  <tableStyleInfo name="TableStyleMedium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161EBC1-0A36-44DB-AC4E-791D1807F7A7}" name="AnswersES13" displayName="AnswersES13" ref="B50:C53" totalsRowShown="0">
  <autoFilter ref="B50:C53" xr:uid="{969B6391-9C0B-4427-B751-247C026CFCE5}"/>
  <tableColumns count="2">
    <tableColumn id="1" xr3:uid="{AD58440C-A504-4A1B-B874-77B29A880B14}" name="Choices"/>
    <tableColumn id="2" xr3:uid="{BB38D3F1-8A38-4850-92B4-5CC004F804DC}" name="Value"/>
  </tableColumns>
  <tableStyleInfo name="TableStyleMedium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D237F81-A461-443F-8553-8A14444577F1}" name="AnswersES16" displayName="AnswersES16" ref="E50:F54" totalsRowShown="0">
  <autoFilter ref="E50:F54" xr:uid="{8D72ECA0-8040-4486-8456-42DE7FCE2678}"/>
  <tableColumns count="2">
    <tableColumn id="1" xr3:uid="{1394EE43-D33B-4816-BFD4-FE994642CAB4}" name="Choices"/>
    <tableColumn id="2" xr3:uid="{DFABD740-4095-43B7-99F1-7B313E41DF4B}" name="Value"/>
  </tableColumns>
  <tableStyleInfo name="TableStyleMedium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BFB1B48-8CE6-4F5C-A8AD-0A035613FF3B}" name="AnswersES17" displayName="AnswersES17" ref="H50:I54" totalsRowShown="0">
  <autoFilter ref="H50:I54" xr:uid="{5A7A0046-12A0-4803-90F9-AAC790159971}"/>
  <tableColumns count="2">
    <tableColumn id="1" xr3:uid="{5FAF12A7-5F48-4EF8-9962-0F15E230B32F}" name="Choices"/>
    <tableColumn id="2" xr3:uid="{5B111C08-293A-4E7B-9E24-11F576B67B1D}" name="Value"/>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8.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33E09-8E29-492B-866C-2715D140349C}">
  <sheetPr>
    <tabColor rgb="FF00B0F0"/>
    <pageSetUpPr fitToPage="1"/>
  </sheetPr>
  <dimension ref="B1:J44"/>
  <sheetViews>
    <sheetView showGridLines="0" showRowColHeaders="0" tabSelected="1" zoomScaleNormal="100" workbookViewId="0"/>
  </sheetViews>
  <sheetFormatPr defaultColWidth="8.796875" defaultRowHeight="14.25" x14ac:dyDescent="0.45"/>
  <cols>
    <col min="1" max="1" width="2.796875" style="16" customWidth="1"/>
    <col min="2" max="2" width="78.796875" style="16" customWidth="1"/>
    <col min="3" max="3" width="41.46484375" style="16" customWidth="1"/>
    <col min="4" max="4" width="8.59765625" style="16" customWidth="1"/>
    <col min="5" max="16384" width="8.796875" style="16"/>
  </cols>
  <sheetData>
    <row r="1" spans="2:10" ht="29" customHeight="1" x14ac:dyDescent="0.45"/>
    <row r="2" spans="2:10" ht="29" customHeight="1" x14ac:dyDescent="0.45">
      <c r="C2" s="124" t="s">
        <v>812</v>
      </c>
      <c r="D2" s="115"/>
      <c r="E2" s="115"/>
      <c r="F2" s="115"/>
      <c r="G2" s="115"/>
      <c r="H2" s="115"/>
      <c r="I2" s="115"/>
      <c r="J2" s="115"/>
    </row>
    <row r="3" spans="2:10" ht="36" customHeight="1" x14ac:dyDescent="0.45">
      <c r="B3" s="149" t="s">
        <v>551</v>
      </c>
      <c r="C3" s="149"/>
      <c r="D3" s="115"/>
      <c r="E3" s="115"/>
      <c r="F3" s="115"/>
      <c r="G3" s="115"/>
      <c r="H3" s="115"/>
      <c r="I3" s="115"/>
      <c r="J3" s="115"/>
    </row>
    <row r="4" spans="2:10" ht="38" customHeight="1" x14ac:dyDescent="0.45">
      <c r="B4" s="150" t="s">
        <v>552</v>
      </c>
      <c r="C4" s="150"/>
      <c r="D4" s="115"/>
      <c r="E4" s="115"/>
      <c r="F4" s="115"/>
      <c r="G4" s="115"/>
      <c r="H4" s="115"/>
      <c r="I4" s="115"/>
      <c r="J4" s="115"/>
    </row>
    <row r="5" spans="2:10" x14ac:dyDescent="0.45">
      <c r="C5" s="116"/>
      <c r="D5" s="115"/>
      <c r="E5" s="115"/>
      <c r="F5" s="115"/>
      <c r="G5" s="115"/>
      <c r="H5" s="115"/>
      <c r="I5" s="115"/>
      <c r="J5" s="115"/>
    </row>
    <row r="6" spans="2:10" ht="20" customHeight="1" x14ac:dyDescent="0.45">
      <c r="B6" s="151" t="s">
        <v>553</v>
      </c>
      <c r="C6" s="151"/>
      <c r="D6" s="115"/>
      <c r="E6" s="115"/>
      <c r="F6" s="115"/>
      <c r="G6" s="115"/>
      <c r="H6" s="115"/>
      <c r="I6" s="115"/>
      <c r="J6" s="115"/>
    </row>
    <row r="7" spans="2:10" x14ac:dyDescent="0.45">
      <c r="B7" s="148" t="s">
        <v>556</v>
      </c>
      <c r="C7" s="148"/>
      <c r="D7" s="115"/>
      <c r="E7" s="115"/>
      <c r="F7" s="115"/>
      <c r="G7" s="115"/>
      <c r="H7" s="115"/>
      <c r="I7" s="115"/>
      <c r="J7" s="115"/>
    </row>
    <row r="8" spans="2:10" x14ac:dyDescent="0.45">
      <c r="B8" s="126" t="s">
        <v>557</v>
      </c>
      <c r="C8" s="101" t="s">
        <v>315</v>
      </c>
      <c r="D8" s="115"/>
      <c r="E8" s="115"/>
      <c r="F8" s="115"/>
      <c r="G8" s="115"/>
      <c r="H8" s="115"/>
      <c r="I8" s="115"/>
      <c r="J8" s="115"/>
    </row>
    <row r="9" spans="2:10" x14ac:dyDescent="0.45">
      <c r="B9" s="126"/>
      <c r="C9" s="127"/>
      <c r="D9" s="115"/>
      <c r="E9" s="115"/>
      <c r="F9" s="115"/>
      <c r="G9" s="115"/>
      <c r="H9" s="115"/>
      <c r="I9" s="115"/>
      <c r="J9" s="115"/>
    </row>
    <row r="10" spans="2:10" x14ac:dyDescent="0.45">
      <c r="B10" s="148" t="s">
        <v>560</v>
      </c>
      <c r="C10" s="148"/>
      <c r="D10" s="115"/>
      <c r="E10" s="115"/>
      <c r="F10" s="115"/>
      <c r="G10" s="115"/>
      <c r="H10" s="115"/>
      <c r="I10" s="115"/>
      <c r="J10" s="115"/>
    </row>
    <row r="11" spans="2:10" ht="28.5" x14ac:dyDescent="0.45">
      <c r="B11" s="128" t="s">
        <v>558</v>
      </c>
      <c r="C11" s="119" t="s">
        <v>567</v>
      </c>
      <c r="D11" s="115"/>
      <c r="E11" s="115"/>
      <c r="F11" s="115"/>
      <c r="G11" s="115"/>
      <c r="H11" s="115"/>
      <c r="I11" s="115"/>
      <c r="J11" s="115"/>
    </row>
    <row r="12" spans="2:10" x14ac:dyDescent="0.45">
      <c r="B12" s="129"/>
      <c r="C12" s="129"/>
      <c r="D12" s="115"/>
      <c r="E12" s="115"/>
      <c r="F12" s="115"/>
      <c r="G12" s="115"/>
      <c r="H12" s="115"/>
      <c r="I12" s="115"/>
      <c r="J12" s="115"/>
    </row>
    <row r="13" spans="2:10" x14ac:dyDescent="0.45">
      <c r="B13" s="148" t="s">
        <v>559</v>
      </c>
      <c r="C13" s="148"/>
      <c r="D13" s="115"/>
      <c r="E13" s="115"/>
      <c r="F13" s="115"/>
      <c r="G13" s="115"/>
      <c r="H13" s="115"/>
      <c r="I13" s="115"/>
      <c r="J13" s="115"/>
    </row>
    <row r="14" spans="2:10" x14ac:dyDescent="0.45">
      <c r="B14" s="128" t="s">
        <v>554</v>
      </c>
      <c r="C14" s="119" t="s">
        <v>254</v>
      </c>
      <c r="D14" s="115"/>
      <c r="E14" s="115"/>
      <c r="F14" s="115"/>
      <c r="G14" s="115"/>
      <c r="H14" s="115"/>
      <c r="I14" s="115"/>
      <c r="J14" s="115"/>
    </row>
    <row r="15" spans="2:10" x14ac:dyDescent="0.45">
      <c r="B15" s="129"/>
      <c r="C15" s="129"/>
      <c r="D15" s="115"/>
      <c r="E15" s="115"/>
      <c r="F15" s="115"/>
      <c r="G15" s="115"/>
      <c r="H15" s="115"/>
      <c r="I15" s="115"/>
      <c r="J15" s="115"/>
    </row>
    <row r="16" spans="2:10" x14ac:dyDescent="0.45">
      <c r="B16" s="148" t="s">
        <v>561</v>
      </c>
      <c r="C16" s="148"/>
      <c r="D16" s="115"/>
      <c r="E16" s="115"/>
      <c r="F16" s="115"/>
      <c r="G16" s="115"/>
      <c r="H16" s="115"/>
      <c r="I16" s="115"/>
      <c r="J16" s="115"/>
    </row>
    <row r="17" spans="2:10" s="118" customFormat="1" x14ac:dyDescent="0.45">
      <c r="B17" s="128" t="s">
        <v>569</v>
      </c>
      <c r="C17" s="120" t="s">
        <v>243</v>
      </c>
      <c r="D17" s="117"/>
      <c r="E17" s="117"/>
      <c r="F17" s="117"/>
      <c r="G17" s="117"/>
      <c r="H17" s="117"/>
      <c r="I17" s="117"/>
      <c r="J17" s="117"/>
    </row>
    <row r="18" spans="2:10" x14ac:dyDescent="0.45">
      <c r="B18" s="129"/>
      <c r="C18" s="129"/>
      <c r="D18" s="115"/>
      <c r="E18" s="115"/>
      <c r="F18" s="115"/>
      <c r="G18" s="115"/>
      <c r="H18" s="115"/>
      <c r="I18" s="115"/>
      <c r="J18" s="115"/>
    </row>
    <row r="19" spans="2:10" s="118" customFormat="1" x14ac:dyDescent="0.45">
      <c r="B19" s="148" t="s">
        <v>562</v>
      </c>
      <c r="C19" s="148"/>
      <c r="D19" s="117"/>
      <c r="E19" s="117"/>
      <c r="F19" s="117"/>
      <c r="G19" s="117"/>
      <c r="H19" s="117"/>
      <c r="I19" s="117"/>
      <c r="J19" s="117"/>
    </row>
    <row r="20" spans="2:10" x14ac:dyDescent="0.45">
      <c r="B20" s="128" t="s">
        <v>563</v>
      </c>
      <c r="C20" s="121" t="s">
        <v>243</v>
      </c>
      <c r="D20" s="115"/>
      <c r="E20" s="115"/>
      <c r="F20" s="115"/>
      <c r="G20" s="115"/>
      <c r="H20" s="115"/>
      <c r="I20" s="115"/>
      <c r="J20" s="115"/>
    </row>
    <row r="21" spans="2:10" x14ac:dyDescent="0.45">
      <c r="B21" s="129"/>
      <c r="C21" s="130"/>
      <c r="D21" s="115"/>
      <c r="E21" s="115"/>
      <c r="F21" s="115"/>
      <c r="G21" s="115"/>
      <c r="H21" s="115"/>
      <c r="I21" s="115"/>
      <c r="J21" s="115"/>
    </row>
    <row r="23" spans="2:10" ht="20" customHeight="1" x14ac:dyDescent="0.45">
      <c r="B23" s="136" t="s">
        <v>564</v>
      </c>
      <c r="C23" s="136"/>
      <c r="D23"/>
    </row>
    <row r="24" spans="2:10" x14ac:dyDescent="0.45">
      <c r="B24" s="137" t="s">
        <v>565</v>
      </c>
      <c r="C24" s="139"/>
    </row>
    <row r="25" spans="2:10" x14ac:dyDescent="0.45">
      <c r="B25" s="146"/>
      <c r="C25" s="147"/>
    </row>
    <row r="26" spans="2:10" x14ac:dyDescent="0.45">
      <c r="B26" s="131"/>
      <c r="C26" s="131"/>
    </row>
    <row r="27" spans="2:10" x14ac:dyDescent="0.45">
      <c r="B27" s="137" t="s">
        <v>570</v>
      </c>
      <c r="C27" s="139"/>
    </row>
    <row r="28" spans="2:10" x14ac:dyDescent="0.45">
      <c r="B28" s="146"/>
      <c r="C28" s="147"/>
    </row>
    <row r="29" spans="2:10" x14ac:dyDescent="0.45">
      <c r="B29" s="131"/>
      <c r="C29" s="131"/>
    </row>
    <row r="30" spans="2:10" x14ac:dyDescent="0.45">
      <c r="B30" s="137" t="s">
        <v>571</v>
      </c>
      <c r="C30" s="139"/>
    </row>
    <row r="31" spans="2:10" ht="34.5" customHeight="1" x14ac:dyDescent="0.45">
      <c r="B31" s="140"/>
      <c r="C31" s="141"/>
    </row>
    <row r="32" spans="2:10" ht="34.5" customHeight="1" x14ac:dyDescent="0.45">
      <c r="B32" s="142"/>
      <c r="C32" s="143"/>
    </row>
    <row r="33" spans="2:3" ht="34.5" customHeight="1" x14ac:dyDescent="0.45">
      <c r="B33" s="144"/>
      <c r="C33" s="145"/>
    </row>
    <row r="34" spans="2:3" x14ac:dyDescent="0.45">
      <c r="B34" s="132"/>
      <c r="C34" s="132"/>
    </row>
    <row r="35" spans="2:3" x14ac:dyDescent="0.45">
      <c r="B35" s="137" t="s">
        <v>573</v>
      </c>
      <c r="C35" s="139"/>
    </row>
    <row r="36" spans="2:3" ht="34.5" customHeight="1" x14ac:dyDescent="0.45">
      <c r="B36" s="140"/>
      <c r="C36" s="141"/>
    </row>
    <row r="37" spans="2:3" ht="34.5" customHeight="1" x14ac:dyDescent="0.45">
      <c r="B37" s="142"/>
      <c r="C37" s="143"/>
    </row>
    <row r="38" spans="2:3" ht="34.5" customHeight="1" x14ac:dyDescent="0.45">
      <c r="B38" s="144"/>
      <c r="C38" s="145"/>
    </row>
    <row r="39" spans="2:3" x14ac:dyDescent="0.45">
      <c r="B39" s="129"/>
      <c r="C39" s="129"/>
    </row>
    <row r="40" spans="2:3" x14ac:dyDescent="0.45">
      <c r="B40" s="137" t="s">
        <v>572</v>
      </c>
      <c r="C40" s="138"/>
    </row>
    <row r="41" spans="2:3" x14ac:dyDescent="0.45">
      <c r="B41" s="125"/>
      <c r="C41" s="125"/>
    </row>
    <row r="42" spans="2:3" x14ac:dyDescent="0.45">
      <c r="B42" s="125"/>
      <c r="C42" s="125"/>
    </row>
    <row r="43" spans="2:3" x14ac:dyDescent="0.45">
      <c r="B43" s="125"/>
      <c r="C43" s="125"/>
    </row>
    <row r="44" spans="2:3" x14ac:dyDescent="0.45">
      <c r="B44" s="129"/>
      <c r="C44" s="129"/>
    </row>
  </sheetData>
  <sheetProtection algorithmName="SHA-512" hashValue="hNgm/bSPgccIUF6A946eYPDg5vvoaDgphnQYzFHYGYZydHXY+bcI5TaU7v4ludm0b+Ujvw3DF949k3VNdsmTnw==" saltValue="L7NgJKEo0ssFDY8kwljPZQ==" spinCount="100000" sheet="1" objects="1" scenarios="1"/>
  <mergeCells count="18">
    <mergeCell ref="B19:C19"/>
    <mergeCell ref="B13:C13"/>
    <mergeCell ref="B3:C3"/>
    <mergeCell ref="B4:C4"/>
    <mergeCell ref="B7:C7"/>
    <mergeCell ref="B10:C10"/>
    <mergeCell ref="B16:C16"/>
    <mergeCell ref="B6:C6"/>
    <mergeCell ref="B23:C23"/>
    <mergeCell ref="B40:C40"/>
    <mergeCell ref="B35:C35"/>
    <mergeCell ref="B36:C38"/>
    <mergeCell ref="B24:C24"/>
    <mergeCell ref="B25:C25"/>
    <mergeCell ref="B30:C30"/>
    <mergeCell ref="B31:C33"/>
    <mergeCell ref="B27:C27"/>
    <mergeCell ref="B28:C28"/>
  </mergeCells>
  <dataValidations count="6">
    <dataValidation type="list" allowBlank="1" showInputMessage="1" showErrorMessage="1" errorTitle="Invalid" error="Please choose an option from the list" prompt="Please select a country from the list" sqref="C8" xr:uid="{AFAD076D-E134-4248-A5B0-2ECC10FC3D22}">
      <formula1>INDIRECT("Countries[Country]")</formula1>
    </dataValidation>
    <dataValidation errorStyle="warning" allowBlank="1" showErrorMessage="1" errorTitle="Invalid" error="Please choose an option from the list" promptTitle="Answer" prompt="Please select a country from the list" sqref="C9" xr:uid="{4E0697E4-42D6-744F-9D17-03D653B06692}"/>
    <dataValidation type="list" allowBlank="1" showInputMessage="1" showErrorMessage="1" errorTitle="Invalid" error="Please select an option from the list" prompt="Please select an option from the list" sqref="C20" xr:uid="{DA5D8EAA-28C7-1F41-9F7F-2EBA2D37A84C}">
      <formula1>INDIRECT("StatIntent[Achievement]")</formula1>
    </dataValidation>
    <dataValidation type="list" allowBlank="1" showInputMessage="1" showErrorMessage="1" errorTitle="Invalid" error="Please select an option from the list" prompt="Please select a setting from the list" sqref="C11" xr:uid="{B9A4C7AE-62E4-DD4E-94A7-96E833F92A71}">
      <formula1>INDIRECT("Biocategories[Categories]")</formula1>
    </dataValidation>
    <dataValidation type="list" allowBlank="1" showInputMessage="1" showErrorMessage="1" errorTitle="Invalid" error="Please select an option from the list" prompt="Please select an option from the list" sqref="C14" xr:uid="{4AD5740D-F6A8-7140-930F-CFBB4EBB2712}">
      <formula1>INDIRECT("ProjectStages[Stage]")</formula1>
    </dataValidation>
    <dataValidation type="list" allowBlank="1" showInputMessage="1" showErrorMessage="1" errorTitle="Invalid" error="Please select an option from the list" prompt="Please select an option from the list" sqref="C17" xr:uid="{40EE1AA2-54F5-451C-B28C-FC452A58D002}">
      <formula1>INDIRECT("AnswersGen[Choices]")</formula1>
    </dataValidation>
  </dataValidations>
  <pageMargins left="0.7" right="0.7" top="0.75" bottom="0.75" header="0.3" footer="0.3"/>
  <pageSetup paperSize="9" scale="81" fitToHeight="0"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82DA8-FB74-454A-B111-7B1A50FA93BB}">
  <sheetPr>
    <tabColor theme="0" tint="-0.499984740745262"/>
  </sheetPr>
  <dimension ref="A1:G35"/>
  <sheetViews>
    <sheetView topLeftCell="A13" zoomScale="89" zoomScaleNormal="70" workbookViewId="0">
      <selection activeCell="E42" sqref="E42"/>
    </sheetView>
  </sheetViews>
  <sheetFormatPr defaultColWidth="11" defaultRowHeight="14.25" x14ac:dyDescent="0.45"/>
  <cols>
    <col min="1" max="1" width="7.46484375" customWidth="1"/>
    <col min="2" max="2" width="45.46484375" customWidth="1"/>
    <col min="3" max="3" width="32.59765625" customWidth="1"/>
    <col min="4" max="4" width="36" customWidth="1"/>
    <col min="5" max="5" width="49.33203125" customWidth="1"/>
    <col min="6" max="6" width="31.19921875" customWidth="1"/>
    <col min="7" max="7" width="29.59765625" customWidth="1"/>
  </cols>
  <sheetData>
    <row r="1" spans="1:7" ht="16.05" customHeight="1" x14ac:dyDescent="0.45">
      <c r="A1" t="s">
        <v>730</v>
      </c>
      <c r="B1" s="11"/>
      <c r="C1" s="11"/>
      <c r="D1" s="13"/>
      <c r="E1" s="11"/>
      <c r="F1" s="11"/>
      <c r="G1" s="11"/>
    </row>
    <row r="2" spans="1:7" x14ac:dyDescent="0.45">
      <c r="A2" t="s">
        <v>116</v>
      </c>
      <c r="B2" t="s">
        <v>4</v>
      </c>
      <c r="C2" t="s">
        <v>5</v>
      </c>
      <c r="D2" t="s">
        <v>103</v>
      </c>
      <c r="E2" t="s">
        <v>238</v>
      </c>
      <c r="F2" t="s">
        <v>239</v>
      </c>
    </row>
    <row r="3" spans="1:7" x14ac:dyDescent="0.45">
      <c r="A3" t="s">
        <v>117</v>
      </c>
      <c r="B3" t="s">
        <v>732</v>
      </c>
      <c r="C3" t="s">
        <v>731</v>
      </c>
      <c r="E3" t="str">
        <f>IF(OR('Access and Equity'!H7="",'Access and Equity'!H7="N/A"),"",IF('Access and Equity'!K7&gt;=1,Table1[[#This Row],[Yes]]&amp;CHAR(10)&amp;CHAR(10),""))</f>
        <v/>
      </c>
      <c r="F3" t="str">
        <f>IF('Access and Equity'!H7="","",IF('Access and Equity'!K7&lt;1,Table1[[#This Row],[No]]&amp;CHAR(10)&amp;CHAR(10),""))</f>
        <v xml:space="preserve">Выявить и принять во внимание потребности, цели и проблемы общин, которые проект призван обслуживать.
</v>
      </c>
    </row>
    <row r="4" spans="1:7" x14ac:dyDescent="0.45">
      <c r="A4" t="s">
        <v>121</v>
      </c>
      <c r="B4" t="s">
        <v>733</v>
      </c>
      <c r="C4" t="s">
        <v>734</v>
      </c>
      <c r="E4" t="str">
        <f>IF(OR('Access and Equity'!H8="",'Access and Equity'!H8="N/A"),"",IF('Access and Equity'!K8&gt;=1,Table1[[#This Row],[Yes]]&amp;CHAR(10)&amp;CHAR(10),""))</f>
        <v/>
      </c>
      <c r="F4" t="str">
        <f>IF('Access and Equity'!H8="","",IF('Access and Equity'!K8&lt;1,Table1[[#This Row],[No]]&amp;CHAR(10)&amp;CHAR(10),""))</f>
        <v xml:space="preserve">Произвести количественную оценку числа людей, которые ранее не имели доступа или не имели удовлетворительного доступа к одной или нескольким основным услугам и будут иметь новый или более совершенный доступ к этим услугам в качестве прямого и/или косвенного результата проекта.
</v>
      </c>
    </row>
    <row r="5" spans="1:7" x14ac:dyDescent="0.45">
      <c r="A5" t="s">
        <v>122</v>
      </c>
      <c r="B5" s="107" t="s">
        <v>735</v>
      </c>
      <c r="C5" s="107" t="s">
        <v>736</v>
      </c>
      <c r="D5" s="107" t="s">
        <v>737</v>
      </c>
      <c r="E5" t="str">
        <f>IF(OR('Access and Equity'!H20="",'Access and Equity'!H20="N/A"),"",IF('Access and Equity'!K20&gt;=1,Table1[[#This Row],[Yes]]&amp;CHAR(10)&amp;CHAR(10),""))</f>
        <v/>
      </c>
      <c r="F5" t="str">
        <f>IF('Access and Equity'!H20="","",IF('Access and Equity'!K20&lt;1,Table1[[#This Row],[No]]&amp;CHAR(10)&amp;CHAR(10),""))</f>
        <v xml:space="preserve">Определить и удовлетворить потребности общин, которые проект призван обслуживать, в отношении доступности таким образом, чтобы услуги, предоставляемые в рамках проекта, были вполне доступными для всех пользователей, включая наиболее уязвимых и обездоленных.
</v>
      </c>
    </row>
    <row r="6" spans="1:7" x14ac:dyDescent="0.45">
      <c r="A6" t="s">
        <v>15</v>
      </c>
      <c r="B6" s="107" t="s">
        <v>738</v>
      </c>
      <c r="C6" s="107" t="s">
        <v>739</v>
      </c>
      <c r="D6" s="107"/>
      <c r="E6" t="str">
        <f>IF(OR('Access and Equity'!H30="",'Access and Equity'!H30="N/A"),"",IF('Access and Equity'!K30&gt;=1,Table1[[#This Row],[Yes]]&amp;CHAR(10)&amp;CHAR(10),""))</f>
        <v/>
      </c>
      <c r="F6" t="str">
        <f>IF('Access and Equity'!H30="","",IF('Access and Equity'!K30&lt;1,Table1[[#This Row],[No]]&amp;CHAR(10)&amp;CHAR(10),""))</f>
        <v xml:space="preserve">На протяжении всего срока действия проекта (идентификация, разработка и реализация) обеспечить принятие во внимание исторического контекста равенства и социальной справедливости.
</v>
      </c>
    </row>
    <row r="7" spans="1:7" x14ac:dyDescent="0.45">
      <c r="A7" t="s">
        <v>14</v>
      </c>
      <c r="B7" s="107" t="s">
        <v>740</v>
      </c>
      <c r="C7" s="107" t="s">
        <v>741</v>
      </c>
      <c r="D7" s="107"/>
      <c r="E7" t="str">
        <f>IF(OR('Access and Equity'!H31="",'Access and Equity'!H31="N/A"),"",IF('Access and Equity'!K31&gt;=1,Table1[[#This Row],[Yes]]&amp;CHAR(10)&amp;CHAR(10),""))</f>
        <v/>
      </c>
      <c r="F7" t="str">
        <f>IF('Access and Equity'!H31="","",IF('Access and Equity'!K31&lt;1,Table1[[#This Row],[No]]&amp;CHAR(10)&amp;CHAR(10),""))</f>
        <v xml:space="preserve">Оценить диапазон прямых и косвенных социальных воздействий (например, прямое воздействие на культурные, исторические, рекреационные или другие ресурсы и услуги в результате реализации проекта и связанной с ним деятельности; воздействие в результате независимого вторичного строительства или действий, которые могут предприниматься в результате реализации проекта; косвенное воздействие на культурные, исторические, рекреационные или другие ресурсы или услуги, важные для местной общины), которые он окажет на принимающие и затронутые общины (т.е. зону обслуживания проекта).
</v>
      </c>
    </row>
    <row r="8" spans="1:7" x14ac:dyDescent="0.45">
      <c r="A8" t="s">
        <v>123</v>
      </c>
      <c r="B8" s="107" t="s">
        <v>742</v>
      </c>
      <c r="C8" s="107" t="s">
        <v>743</v>
      </c>
      <c r="D8" s="107"/>
      <c r="E8" t="str">
        <f>IF(OR('Access and Equity'!H43="",'Access and Equity'!H43="N/A"),"",IF('Access and Equity'!K43&gt;=1,Table1[[#This Row],[Yes]]&amp;CHAR(10)&amp;CHAR(10),""))</f>
        <v/>
      </c>
      <c r="F8" t="str">
        <f>IF('Access and Equity'!H43="","",IF('Access and Equity'!K43&lt;1,Table1[[#This Row],[No]]&amp;CHAR(10)&amp;CHAR(10),""))</f>
        <v xml:space="preserve">Оценить риски для эффективности выполнения проекта с точки зрения ценовой приемлемости, доступности и справедливости.
</v>
      </c>
    </row>
    <row r="9" spans="1:7" x14ac:dyDescent="0.45">
      <c r="A9" t="s">
        <v>124</v>
      </c>
      <c r="B9" s="107" t="s">
        <v>744</v>
      </c>
      <c r="C9" s="107" t="s">
        <v>745</v>
      </c>
      <c r="D9" s="107"/>
      <c r="E9" t="str">
        <f>IF(OR('Access and Equity'!H44="",'Access and Equity'!H44="N/A"),"",IF('Access and Equity'!K44&gt;=1,Table1[[#This Row],[Yes]]&amp;CHAR(10)&amp;CHAR(10),""))</f>
        <v/>
      </c>
      <c r="F9" t="str">
        <f>IF('Access and Equity'!H44="","",IF('Access and Equity'!K44&lt;1,Table1[[#This Row],[No]]&amp;CHAR(10)&amp;CHAR(10),""))</f>
        <v xml:space="preserve">Обеспечить, чтобы процесс составления плана осуществления проекта, его структурирования и разработки и управления им или заключения контракта по нему предоставлял возможность продолжать предвидеть потенциальные будущие риски для эффективности выполнения проекта и реагировать на них с учетом требований ценовой приемлемости, доступности и справедливости на протяжении всего срока его реализации.
</v>
      </c>
    </row>
    <row r="10" spans="1:7" x14ac:dyDescent="0.45">
      <c r="A10" t="s">
        <v>134</v>
      </c>
      <c r="B10" s="107" t="s">
        <v>746</v>
      </c>
      <c r="C10" s="107" t="s">
        <v>747</v>
      </c>
      <c r="D10" s="107"/>
      <c r="E10" t="str">
        <f>IF(OR('Economic Effectiveness'!H7="",'Economic Effectiveness'!H7="N/A"),"",IF('Economic Effectiveness'!K7&gt;=1,Table1[[#This Row],[Yes]]&amp;CHAR(10)&amp;CHAR(10),""))</f>
        <v/>
      </c>
      <c r="F10" t="str">
        <f>IF('Economic Effectiveness'!H7="","",IF('Economic Effectiveness'!K7&lt;1,Table1[[#This Row],[No]]&amp;CHAR(10)&amp;CHAR(10),""))</f>
        <v xml:space="preserve">Соответствовать или отвечать принятому ЕЭК ООН Стандарту подхода нулевой терпимости к коррупции в рамках закупок по линии ГЧП (НТК) или принципам, содержащимся в нем.
</v>
      </c>
    </row>
    <row r="11" spans="1:7" x14ac:dyDescent="0.45">
      <c r="A11" t="s">
        <v>135</v>
      </c>
      <c r="B11" s="107" t="s">
        <v>748</v>
      </c>
      <c r="C11" s="107" t="s">
        <v>749</v>
      </c>
      <c r="D11" s="107"/>
      <c r="E11" t="str">
        <f>IF(OR('Economic Effectiveness'!H20="",'Economic Effectiveness'!H20="N/A"),"",IF('Economic Effectiveness'!K20&gt;=1,Table1[[#This Row],[Yes]]&amp;CHAR(10)&amp;CHAR(10),""))</f>
        <v/>
      </c>
      <c r="F11" t="str">
        <f>IF('Economic Effectiveness'!H20="","",IF('Economic Effectiveness'!K20&lt;1,Table1[[#This Row],[No]]&amp;CHAR(10)&amp;CHAR(10),""))</f>
        <v xml:space="preserve">Обеспечить, чтобы проект мог приносить чистые материальные и нематериальные выгоды для общества путем предоставления услуг на неизменно и достоверно более высоком уровне на протяжении всего срока реализации проекта.
</v>
      </c>
    </row>
    <row r="12" spans="1:7" x14ac:dyDescent="0.45">
      <c r="A12" t="s">
        <v>136</v>
      </c>
      <c r="B12" s="107" t="s">
        <v>750</v>
      </c>
      <c r="C12" s="107" t="s">
        <v>751</v>
      </c>
      <c r="D12" s="107"/>
      <c r="E12" t="str">
        <f>IF(OR('Economic Effectiveness'!H32="",'Economic Effectiveness'!H32="N/A"),"",IF('Economic Effectiveness'!K32&gt;=1,Table1[[#This Row],[Yes]]&amp;CHAR(10)&amp;CHAR(10),""))</f>
        <v/>
      </c>
      <c r="F12" t="str">
        <f>IF('Economic Effectiveness'!H32="","",IF('Economic Effectiveness'!K32&lt;1,Table1[[#This Row],[No]]&amp;CHAR(10)&amp;CHAR(10),""))</f>
        <v xml:space="preserve">Обеспечить, чтобы частный спонсор/акционер проекта обладал надлежащим техническим, финансовым и репутационным статусом для успешного финансирования, осуществления, эксплуатации и технического обслуживания проекта на протяжении всего срока его реализации, включая доступ к необходимым ресурсам для выполнения своих договорных обязательств.
</v>
      </c>
    </row>
    <row r="13" spans="1:7" x14ac:dyDescent="0.45">
      <c r="A13" t="s">
        <v>125</v>
      </c>
      <c r="B13" s="107" t="s">
        <v>752</v>
      </c>
      <c r="C13" s="107" t="s">
        <v>753</v>
      </c>
      <c r="D13" s="107"/>
      <c r="E13" t="str">
        <f>IF(OR('Environmental Sust. &amp; Res.'!H8="",'Environmental Sust. &amp; Res.'!H8="N/A"),"",IF('Environmental Sust. &amp; Res.'!K8&gt;=1,Table1[[#This Row],[Yes]]&amp;CHAR(10)&amp;CHAR(10),""))</f>
        <v/>
      </c>
      <c r="F13" t="str">
        <f>IF('Environmental Sust. &amp; Res.'!H8="","",IF('Environmental Sust. &amp; Res.'!K8&lt;1,Table1[[#This Row],[No]]&amp;CHAR(10)&amp;CHAR(10),""))</f>
        <v xml:space="preserve">Рассчитать годовой объем выбросов парниковых газов на протяжении всего срока реализации проекта.
</v>
      </c>
    </row>
    <row r="14" spans="1:7" x14ac:dyDescent="0.45">
      <c r="A14" t="s">
        <v>126</v>
      </c>
      <c r="B14" s="107" t="s">
        <v>754</v>
      </c>
      <c r="C14" s="107" t="s">
        <v>755</v>
      </c>
      <c r="D14" s="107"/>
      <c r="E14" t="str">
        <f>IF(OR('Environmental Sust. &amp; Res.'!H9="",'Environmental Sust. &amp; Res.'!H9="N/A"),"",IF('Environmental Sust. &amp; Res.'!K9&gt;=1,Table1[[#This Row],[Yes]]&amp;CHAR(10)&amp;CHAR(10),""))</f>
        <v/>
      </c>
      <c r="F14" t="str">
        <f>IF('Environmental Sust. &amp; Res.'!H9="","",IF('Environmental Sust. &amp; Res.'!K9&lt;1,Table1[[#This Row],[No]]&amp;CHAR(10)&amp;CHAR(10),""))</f>
        <v xml:space="preserve">Разработать план/определить стратегии сокращения выбросов парниковых газов на протяжении всего срока реализации проекта.
</v>
      </c>
    </row>
    <row r="15" spans="1:7" x14ac:dyDescent="0.45">
      <c r="A15" t="s">
        <v>127</v>
      </c>
      <c r="B15" t="s">
        <v>756</v>
      </c>
      <c r="C15" t="s">
        <v>757</v>
      </c>
      <c r="D15" t="s">
        <v>758</v>
      </c>
      <c r="E15" t="str">
        <f>IF(OR('Environmental Sust. &amp; Res.'!H13="",'Environmental Sust. &amp; Res.'!H13="N/A"),"",IF('Environmental Sust. &amp; Res.'!K13&gt;=1,Table1[[#This Row],[Yes]]&amp;CHAR(10)&amp;CHAR(10),""))</f>
        <v/>
      </c>
      <c r="F15" t="str">
        <f>IF('Environmental Sust. &amp; Res.'!H13="","",IF('Environmental Sust. &amp; Res.'!K13&lt;1,Table1[[#This Row],[No]]&amp;CHAR(10)&amp;CHAR(10),""))</f>
        <v xml:space="preserve">Рассчитать годовое энергопотребление проекта на единицу продукции/услуг.
</v>
      </c>
    </row>
    <row r="16" spans="1:7" x14ac:dyDescent="0.45">
      <c r="A16" t="s">
        <v>128</v>
      </c>
      <c r="B16" t="s">
        <v>759</v>
      </c>
      <c r="C16" t="s">
        <v>760</v>
      </c>
      <c r="D16" t="s">
        <v>761</v>
      </c>
      <c r="E16" t="str">
        <f>IF(OR('Environmental Sust. &amp; Res.'!H14="",'Environmental Sust. &amp; Res.'!H14="N/A"),"",IF('Environmental Sust. &amp; Res.'!K14&gt;=1,Table1[[#This Row],[Yes]]&amp;CHAR(10)&amp;CHAR(10),""))</f>
        <v/>
      </c>
      <c r="F16" t="str">
        <f>IF('Environmental Sust. &amp; Res.'!H14="","",IF('Environmental Sust. &amp; Res.'!K14&lt;1,Table1[[#This Row],[No]]&amp;CHAR(10)&amp;CHAR(10),""))</f>
        <v xml:space="preserve">Разработать план/определить стратегии повышения энергоэффективности/снижения энергопотребления проекта.
</v>
      </c>
    </row>
    <row r="17" spans="1:6" x14ac:dyDescent="0.45">
      <c r="A17" t="s">
        <v>57</v>
      </c>
      <c r="B17" t="s">
        <v>762</v>
      </c>
      <c r="C17" t="s">
        <v>763</v>
      </c>
      <c r="E17" t="str">
        <f>IF(OR('Environmental Sust. &amp; Res.'!H25="",'Environmental Sust. &amp; Res.'!H25="N/A"),"",IF('Environmental Sust. &amp; Res.'!K25&gt;=1,Table1[[#This Row],[Yes]]&amp;CHAR(10)&amp;CHAR(10),""))</f>
        <v/>
      </c>
      <c r="F17" t="str">
        <f>IF('Environmental Sust. &amp; Res.'!H25="","",IF('Environmental Sust. &amp; Res.'!K25&lt;1,Table1[[#This Row],[No]]&amp;CHAR(10)&amp;CHAR(10),""))</f>
        <v xml:space="preserve">Изучить возможности для включения в проект процессов экономики замкнутого цикла (например, изучить возможности выгодного использования/повторного использования нежелательных отходов или избыточных ресурсов, включая отходы или избыточные материалы, энергию/тепло, выбросы газов и/или сточные воды, либо избыточный сервисный потенциал, рабочую силу/управленческий потенциал, финансовый потенциал и земельный/пространственный потенциал).
</v>
      </c>
    </row>
    <row r="18" spans="1:6" x14ac:dyDescent="0.45">
      <c r="A18" t="s">
        <v>59</v>
      </c>
      <c r="B18" t="s">
        <v>764</v>
      </c>
      <c r="C18" t="s">
        <v>765</v>
      </c>
      <c r="D18" t="s">
        <v>766</v>
      </c>
      <c r="E18" t="str">
        <f>IF(OR('Environmental Sust. &amp; Res.'!H30="",'Environmental Sust. &amp; Res.'!H30="N/A"),"",IF('Environmental Sust. &amp; Res.'!K30&gt;=1,Table1[[#This Row],[Yes]]&amp;CHAR(10)&amp;CHAR(10),""))</f>
        <v/>
      </c>
      <c r="F18" t="str">
        <f>IF('Environmental Sust. &amp; Res.'!H30="","",IF('Environmental Sust. &amp; Res.'!K30&lt;1,Table1[[#This Row],[No]]&amp;CHAR(10)&amp;CHAR(10),""))</f>
        <v xml:space="preserve">Разработать оперативный план управления твердыми и опасными отходами в соответствии с национальными экологическими нормами, который направлен на сокращение образования и захоронение отходов в почву в течение всего срока реализации проекта.
</v>
      </c>
    </row>
    <row r="19" spans="1:6" x14ac:dyDescent="0.45">
      <c r="A19" t="s">
        <v>131</v>
      </c>
      <c r="B19" t="s">
        <v>767</v>
      </c>
      <c r="C19" t="s">
        <v>768</v>
      </c>
      <c r="D19" t="s">
        <v>809</v>
      </c>
      <c r="E19" t="str">
        <f>IF(OR('Environmental Sust. &amp; Res.'!H44="",'Environmental Sust. &amp; Res.'!H44="N/A"),"",IF('Environmental Sust. &amp; Res.'!K44&gt;=1,Table1[[#This Row],[Yes]]&amp;CHAR(10)&amp;CHAR(10),""))</f>
        <v/>
      </c>
      <c r="F19" t="str">
        <f>IF('Environmental Sust. &amp; Res.'!H44="","",IF('Environmental Sust. &amp; Res.'!K44&lt;1,Table1[[#This Row],[No]]&amp;CHAR(10)&amp;CHAR(10),""))</f>
        <v xml:space="preserve">Определить и оценить стратегии сокращения потребления пресной воды в течение срока действия проекта.
</v>
      </c>
    </row>
    <row r="20" spans="1:6" x14ac:dyDescent="0.45">
      <c r="A20" t="s">
        <v>62</v>
      </c>
      <c r="B20" t="s">
        <v>769</v>
      </c>
      <c r="C20" t="s">
        <v>770</v>
      </c>
      <c r="D20" t="s">
        <v>771</v>
      </c>
      <c r="E20" t="str">
        <f>IF(OR('Environmental Sust. &amp; Res.'!H45="",'Environmental Sust. &amp; Res.'!H45="N/A"),"",IF('Environmental Sust. &amp; Res.'!K45&gt;=1,Table1[[#This Row],[Yes]]&amp;CHAR(10)&amp;CHAR(10),""))</f>
        <v/>
      </c>
      <c r="F20" t="str">
        <f>IF('Environmental Sust. &amp; Res.'!H45="","",IF('Environmental Sust. &amp; Res.'!K45&lt;1,Table1[[#This Row],[No]]&amp;CHAR(10)&amp;CHAR(10),""))</f>
        <v xml:space="preserve">Обеспечить соответствие проекта законодательным нормативам сброса сточных вод после очистки и включение в него таких особенностей, которые позволяют свести к минимуму негативное воздействие водопотребления и/или соответствующие проблемы на уровне водосборного бассейна.
</v>
      </c>
    </row>
    <row r="21" spans="1:6" x14ac:dyDescent="0.45">
      <c r="A21" t="s">
        <v>132</v>
      </c>
      <c r="B21" t="s">
        <v>772</v>
      </c>
      <c r="C21" t="s">
        <v>773</v>
      </c>
      <c r="D21" t="s">
        <v>774</v>
      </c>
      <c r="E21" t="str">
        <f>IF(OR('Environmental Sust. &amp; Res.'!H55="",'Environmental Sust. &amp; Res.'!H55="N/A"),"",IF('Environmental Sust. &amp; Res.'!K55&gt;=1,Table1[[#This Row],[Yes]]&amp;CHAR(10)&amp;CHAR(10),""))</f>
        <v/>
      </c>
      <c r="F21" t="str">
        <f>IF('Environmental Sust. &amp; Res.'!H55="","",IF('Environmental Sust. &amp; Res.'!K55&lt;1,Table1[[#This Row],[No]]&amp;CHAR(10)&amp;CHAR(10),""))</f>
        <v xml:space="preserve">Провести оценку воздействия на окружающую среду (ОВОС) (или первоначальную экологическую оценку для проектов категории В).
</v>
      </c>
    </row>
    <row r="22" spans="1:6" x14ac:dyDescent="0.45">
      <c r="A22" t="s">
        <v>65</v>
      </c>
      <c r="B22" t="s">
        <v>775</v>
      </c>
      <c r="C22" t="s">
        <v>776</v>
      </c>
      <c r="E22" t="str">
        <f>IF(OR('Environmental Sust. &amp; Res.'!H56="",'Environmental Sust. &amp; Res.'!H56="N/A"),"",IF('Environmental Sust. &amp; Res.'!K56&gt;=1,Table1[[#This Row],[Yes]]&amp;CHAR(10)&amp;CHAR(10),""))</f>
        <v/>
      </c>
      <c r="F22" t="str">
        <f>IF('Environmental Sust. &amp; Res.'!H56="","",IF('Environmental Sust. &amp; Res.'!K56&lt;1,Table1[[#This Row],[No]]&amp;CHAR(10)&amp;CHAR(10),""))</f>
        <v xml:space="preserve">Разработать и реализовать план экологического обустройства (ПЭО) в интересах предотвращения и смягчения последствий для зоны воздействия или ее восстановления.
</v>
      </c>
    </row>
    <row r="23" spans="1:6" x14ac:dyDescent="0.45">
      <c r="A23" t="s">
        <v>137</v>
      </c>
      <c r="B23" t="s">
        <v>777</v>
      </c>
      <c r="C23" t="s">
        <v>778</v>
      </c>
      <c r="E23" t="str">
        <f>IF(OR('Environmental Sust. &amp; Res.'!H65="",'Environmental Sust. &amp; Res.'!H65="N/A"),"",IF('Environmental Sust. &amp; Res.'!K65&gt;=1,Table1[[#This Row],[Yes]]&amp;CHAR(10)&amp;CHAR(10),""))</f>
        <v/>
      </c>
      <c r="F23" t="str">
        <f>IF('Environmental Sust. &amp; Res.'!H65="","",IF('Environmental Sust. &amp; Res.'!K65&lt;1,Table1[[#This Row],[No]]&amp;CHAR(10)&amp;CHAR(10),""))</f>
        <v xml:space="preserve">Завершить мероприятия по обеспечению готовности проекта к бедствиям.
</v>
      </c>
    </row>
    <row r="24" spans="1:6" x14ac:dyDescent="0.45">
      <c r="A24" t="s">
        <v>67</v>
      </c>
      <c r="B24" t="s">
        <v>779</v>
      </c>
      <c r="C24" t="s">
        <v>780</v>
      </c>
      <c r="E24" t="str">
        <f>IF(OR('Environmental Sust. &amp; Res.'!H66="",'Environmental Sust. &amp; Res.'!H66="N/A"),"",IF('Environmental Sust. &amp; Res.'!K66&gt;=1,Table1[[#This Row],[Yes]]&amp;CHAR(10)&amp;CHAR(10),""))</f>
        <v/>
      </c>
      <c r="F24" t="str">
        <f>IF('Environmental Sust. &amp; Res.'!H66="","",IF('Environmental Sust. &amp; Res.'!K66&lt;1,Table1[[#This Row],[No]]&amp;CHAR(10)&amp;CHAR(10),""))</f>
        <v xml:space="preserve">Завершить мероприятия по обеспечению готовности проекта, принимающей стороны и затрагиваемых общин к бедствиям.
</v>
      </c>
    </row>
    <row r="25" spans="1:6" x14ac:dyDescent="0.45">
      <c r="A25" t="s">
        <v>72</v>
      </c>
      <c r="B25" t="s">
        <v>781</v>
      </c>
      <c r="C25" t="s">
        <v>782</v>
      </c>
      <c r="E25" t="str">
        <f>IF(OR('Environmental Sust. &amp; Res.'!H77="",'Environmental Sust. &amp; Res.'!H77="N/A"),"",IF('Environmental Sust. &amp; Res.'!K77&gt;=1,Table1[[#This Row],[Yes]]&amp;CHAR(10)&amp;CHAR(10),""))</f>
        <v/>
      </c>
      <c r="F25" t="str">
        <f>IF('Environmental Sust. &amp; Res.'!H77="","",IF('Environmental Sust. &amp; Res.'!K77&lt;1,Table1[[#This Row],[No]]&amp;CHAR(10)&amp;CHAR(10),""))</f>
        <v xml:space="preserve">Определить средства, выделяемые из различных источников, и предусмотреть бюджет на покрытие убытков в результате утраты активов.
</v>
      </c>
    </row>
    <row r="26" spans="1:6" x14ac:dyDescent="0.45">
      <c r="A26" t="s">
        <v>138</v>
      </c>
      <c r="B26" t="s">
        <v>783</v>
      </c>
      <c r="C26" t="s">
        <v>784</v>
      </c>
      <c r="E26" t="str">
        <f>IF(OR('Environmental Sust. &amp; Res.'!H87="",'Environmental Sust. &amp; Res.'!H87="N/A"),"",IF('Environmental Sust. &amp; Res.'!K87&gt;=1,Table1[[#This Row],[Yes]]&amp;CHAR(10)&amp;CHAR(10),""))</f>
        <v/>
      </c>
      <c r="F26" t="str">
        <f>IF('Environmental Sust. &amp; Res.'!H87="","",IF('Environmental Sust. &amp; Res.'!K87&lt;1,Table1[[#This Row],[No]]&amp;CHAR(10)&amp;CHAR(10),""))</f>
        <v xml:space="preserve">Разработать программу развития, ориентированного на общины (РОО), в которой определены превентивные меры и подготовительные действия до возникновения стихийных и антропогенных бедствий, чрезвычайные действия в момент их наступления и меры по восстановлению и повышению жизнестойкости после их завершения.
</v>
      </c>
    </row>
    <row r="27" spans="1:6" x14ac:dyDescent="0.45">
      <c r="A27" t="s">
        <v>139</v>
      </c>
      <c r="B27" t="s">
        <v>785</v>
      </c>
      <c r="C27" t="s">
        <v>786</v>
      </c>
      <c r="E27" t="str">
        <f>IF(OR(Replicability!H7="",Replicability!H7="N/A"),"",IF(Replicability!K7&gt;=1,Table1[[#This Row],[Yes]]&amp;CHAR(10)&amp;CHAR(10),""))</f>
        <v/>
      </c>
      <c r="F27" t="str">
        <f>IF(Replicability!H7="","",IF(Replicability!K7&lt;1,Table1[[#This Row],[No]]&amp;CHAR(10)&amp;CHAR(10),""))</f>
        <v xml:space="preserve">Оценить возможности тиражируемости и/или масштабируемости.
</v>
      </c>
    </row>
    <row r="28" spans="1:6" x14ac:dyDescent="0.45">
      <c r="A28" t="s">
        <v>140</v>
      </c>
      <c r="B28" t="s">
        <v>787</v>
      </c>
      <c r="C28" t="s">
        <v>788</v>
      </c>
      <c r="E28" t="str">
        <f>IF(OR(Replicability!H19="",Replicability!H19="N/A"),"",IF(Replicability!K19&gt;=1,Table1[[#This Row],[Yes]]&amp;CHAR(10)&amp;CHAR(10),""))</f>
        <v/>
      </c>
      <c r="F28" t="str">
        <f>IF(Replicability!H19="","",IF(Replicability!K19&lt;1,Table1[[#This Row],[No]]&amp;CHAR(10)&amp;CHAR(10),""))</f>
        <v xml:space="preserve">Оценить возможности для передачи знаний/ноу-хау, технологий и навыков от частной стороны к стороне государственного сектора и/или заинтересованным сторонам на уровне местных общин и в тех случаях, когда определены жизнеспособные возможности, обеспечить их реализацию.
</v>
      </c>
    </row>
    <row r="29" spans="1:6" x14ac:dyDescent="0.45">
      <c r="A29" t="s">
        <v>141</v>
      </c>
      <c r="B29" t="s">
        <v>789</v>
      </c>
      <c r="C29" t="s">
        <v>790</v>
      </c>
      <c r="E29" t="str">
        <f>IF(OR('Stakeholder Engagement'!H7="",'Stakeholder Engagement'!H7="N/A"),"",IF('Stakeholder Engagement'!K7&gt;=1,Table1[[#This Row],[Yes]]&amp;CHAR(10)&amp;CHAR(10),""))</f>
        <v/>
      </c>
      <c r="F29" t="str">
        <f>IF('Stakeholder Engagement'!H7="","",IF('Stakeholder Engagement'!K7&lt;1,Table1[[#This Row],[No]]&amp;CHAR(10)&amp;CHAR(10),""))</f>
        <v xml:space="preserve">Провести мероприятия по выяснению круга заинтересованных сторон для определения всех заинтересованных сторон, прямо или косвенно затронутых проектом и/или заинтересованных в нем.
</v>
      </c>
    </row>
    <row r="30" spans="1:6" x14ac:dyDescent="0.45">
      <c r="A30" t="s">
        <v>142</v>
      </c>
      <c r="B30" t="s">
        <v>791</v>
      </c>
      <c r="C30" t="s">
        <v>792</v>
      </c>
      <c r="E30" t="str">
        <f>IF(OR('Stakeholder Engagement'!H8="",'Stakeholder Engagement'!H8="N/A"),"",IF('Stakeholder Engagement'!K8&gt;=1,Table1[[#This Row],[Yes]]&amp;CHAR(10)&amp;CHAR(10),""))</f>
        <v/>
      </c>
      <c r="F30" t="str">
        <f>IF('Stakeholder Engagement'!H8="","",IF('Stakeholder Engagement'!K8&lt;1,Table1[[#This Row],[No]]&amp;CHAR(10)&amp;CHAR(10),""))</f>
        <v xml:space="preserve">Разработать план взаимодействия с заинтересованными сторонами и участия общественности, учитывающий специфические потребности каждой из заинтересованных сторон и принимающий во внимание широкий спектр требующих решения проектных вопросов, которые связаны с результатами, ориентированными на обеспечение блага людей.
</v>
      </c>
    </row>
    <row r="31" spans="1:6" x14ac:dyDescent="0.45">
      <c r="A31" t="s">
        <v>92</v>
      </c>
      <c r="B31" t="s">
        <v>793</v>
      </c>
      <c r="C31" t="s">
        <v>794</v>
      </c>
      <c r="E31" t="str">
        <f>IF(OR('Stakeholder Engagement'!H9="",'Stakeholder Engagement'!H9="N/A"),"",IF('Stakeholder Engagement'!K9&gt;=1,Table1[[#This Row],[Yes]]&amp;CHAR(10)&amp;CHAR(10),""))</f>
        <v/>
      </c>
      <c r="F31" t="str">
        <f>IF('Stakeholder Engagement'!H9="","",IF('Stakeholder Engagement'!K9&lt;1,Table1[[#This Row],[No]]&amp;CHAR(10)&amp;CHAR(10),""))</f>
        <v xml:space="preserve">Разработать показатели взаимодействия с заинтересованными сторонами и участия общественности для измерения эффективности и инклюзивности процесса взаимодействия с заинтересованными сторонами и участия общественности, а также для измерения конкретных результатов (например, социальных, культурных, экономических, экологических результатов), достигнутых по итогам этого процесса.
</v>
      </c>
    </row>
    <row r="32" spans="1:6" x14ac:dyDescent="0.45">
      <c r="A32" t="s">
        <v>143</v>
      </c>
      <c r="B32" t="s">
        <v>795</v>
      </c>
      <c r="C32" t="s">
        <v>796</v>
      </c>
      <c r="E32" t="str">
        <f>IF(OR('Stakeholder Engagement'!H18="",'Stakeholder Engagement'!H18="N/A"),"",IF('Stakeholder Engagement'!K18&gt;=1,Table1[[#This Row],[Yes]]&amp;CHAR(10)&amp;CHAR(10),""))</f>
        <v/>
      </c>
      <c r="F32" t="str">
        <f>IF('Stakeholder Engagement'!H18="","",IF('Stakeholder Engagement'!K18&lt;1,Table1[[#This Row],[No]]&amp;CHAR(10)&amp;CHAR(10),""))</f>
        <v xml:space="preserve">Осуществить эффективный (е), своевременный (е) и всеохватывающий (е) план (ы) взаимодействия с заинтересованными сторонами и обеспечения участия общественности на протяжении всего срока реализации проекта.
</v>
      </c>
    </row>
    <row r="33" spans="1:6" x14ac:dyDescent="0.45">
      <c r="A33" t="s">
        <v>144</v>
      </c>
      <c r="B33" t="s">
        <v>797</v>
      </c>
      <c r="C33" t="s">
        <v>798</v>
      </c>
      <c r="E33" t="str">
        <f>IF(OR('Stakeholder Engagement'!H19="",'Stakeholder Engagement'!H19="N/A"),"",IF('Stakeholder Engagement'!K19&gt;=1,Table1[[#This Row],[Yes]]&amp;CHAR(10)&amp;CHAR(10),""))</f>
        <v/>
      </c>
      <c r="F33" t="str">
        <f>IF('Stakeholder Engagement'!H19="","",IF('Stakeholder Engagement'!K19&lt;1,Table1[[#This Row],[No]]&amp;CHAR(10)&amp;CHAR(10),""))</f>
        <v xml:space="preserve">Реализовать все возможные меры для обеспечения того, чтобы представители общественности, в том числе защитники окружающей среды, имели возможность свободно выражать свои взгляды и участвовать в соответствующих процессах, не опасаясь наказания, преследований или притеснений за свою причастность к этой деятельности.
</v>
      </c>
    </row>
    <row r="34" spans="1:6" x14ac:dyDescent="0.45">
      <c r="A34" t="s">
        <v>93</v>
      </c>
      <c r="B34" t="s">
        <v>799</v>
      </c>
      <c r="C34" t="s">
        <v>800</v>
      </c>
      <c r="E34" t="str">
        <f>IF(OR('Stakeholder Engagement'!H20="",'Stakeholder Engagement'!H20="N/A"),"",IF('Stakeholder Engagement'!K20&gt;=1,Table1[[#This Row],[Yes]]&amp;CHAR(10)&amp;CHAR(10),""))</f>
        <v/>
      </c>
      <c r="F34" t="str">
        <f>IF('Stakeholder Engagement'!H20="","",IF('Stakeholder Engagement'!K20&lt;1,Table1[[#This Row],[No]]&amp;CHAR(10)&amp;CHAR(10),""))</f>
        <v xml:space="preserve">Обеспечить учет отзывов заинтересованных сторон в проектных планах, схемах и процессах и/или их влияние на процесс принятия решений, и обеспечить справедливое и беспристрастное рассмотрение отзывов заинтересованных сторон в соответствии с принципами социальной и экологической справедливости.
</v>
      </c>
    </row>
    <row r="35" spans="1:6" x14ac:dyDescent="0.45">
      <c r="A35" t="s">
        <v>145</v>
      </c>
      <c r="B35" t="s">
        <v>801</v>
      </c>
      <c r="C35" t="s">
        <v>802</v>
      </c>
      <c r="E35" t="str">
        <f>IF(OR('Stakeholder Engagement'!H30="",'Stakeholder Engagement'!H30="N/A"),"",IF('Stakeholder Engagement'!K30&gt;=1,Table1[[#This Row],[Yes]],""))</f>
        <v/>
      </c>
      <c r="F35" t="str">
        <f>IF('Stakeholder Engagement'!H30="","",IF('Stakeholder Engagement'!K30&lt;1,Table1[[#This Row],[No]],""))</f>
        <v>Обеспечить, чтобы всем заинтересованным сторонам, включая представителей общественности, была легко доступна качественная и актуальная информация о проекте, касающаяся результатов, ориентированных на обеспечение блага людей, и чтобы она предоставлялась транспарентным, своевременным, понятным и доступным образом.</v>
      </c>
    </row>
  </sheetData>
  <phoneticPr fontId="11" type="noConversion"/>
  <pageMargins left="0.7" right="0.7" top="0.75" bottom="0.75" header="0.3" footer="0.3"/>
  <pageSetup paperSize="9" orientation="portrait" horizontalDpi="0" verticalDpi="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BDB19-C2B5-466E-AD1F-EC86477A4F2E}">
  <sheetPr>
    <tabColor theme="0" tint="-0.499984740745262"/>
  </sheetPr>
  <dimension ref="B2:D197"/>
  <sheetViews>
    <sheetView topLeftCell="A180" zoomScale="163" zoomScaleNormal="100" workbookViewId="0">
      <selection activeCell="B192" sqref="B3:D197"/>
    </sheetView>
  </sheetViews>
  <sheetFormatPr defaultColWidth="8.796875" defaultRowHeight="14.25" x14ac:dyDescent="0.45"/>
  <cols>
    <col min="1" max="1" width="2.59765625" customWidth="1"/>
    <col min="2" max="2" width="59.796875" customWidth="1"/>
    <col min="3" max="3" width="10.19921875" customWidth="1"/>
    <col min="4" max="4" width="13.19921875" bestFit="1" customWidth="1"/>
  </cols>
  <sheetData>
    <row r="2" spans="2:4" x14ac:dyDescent="0.45">
      <c r="B2" t="s">
        <v>109</v>
      </c>
      <c r="C2" t="s">
        <v>110</v>
      </c>
      <c r="D2" t="s">
        <v>191</v>
      </c>
    </row>
    <row r="3" spans="2:4" x14ac:dyDescent="0.45">
      <c r="B3" t="s">
        <v>268</v>
      </c>
      <c r="C3" t="s">
        <v>287</v>
      </c>
      <c r="D3" s="88">
        <v>21</v>
      </c>
    </row>
    <row r="4" spans="2:4" x14ac:dyDescent="0.45">
      <c r="B4" t="s">
        <v>269</v>
      </c>
      <c r="C4" t="s">
        <v>288</v>
      </c>
      <c r="D4" s="88">
        <v>14</v>
      </c>
    </row>
    <row r="5" spans="2:4" x14ac:dyDescent="0.45">
      <c r="B5" t="s">
        <v>270</v>
      </c>
      <c r="C5" t="s">
        <v>288</v>
      </c>
      <c r="D5" s="88">
        <v>14</v>
      </c>
    </row>
    <row r="6" spans="2:4" x14ac:dyDescent="0.45">
      <c r="B6" t="s">
        <v>271</v>
      </c>
      <c r="C6" t="s">
        <v>288</v>
      </c>
      <c r="D6" s="88">
        <v>14</v>
      </c>
    </row>
    <row r="7" spans="2:4" x14ac:dyDescent="0.45">
      <c r="B7" t="s">
        <v>289</v>
      </c>
      <c r="C7" t="s">
        <v>287</v>
      </c>
      <c r="D7" s="88">
        <v>21</v>
      </c>
    </row>
    <row r="8" spans="2:4" x14ac:dyDescent="0.45">
      <c r="B8" t="s">
        <v>296</v>
      </c>
      <c r="C8" t="s">
        <v>288</v>
      </c>
      <c r="D8" s="88">
        <v>14</v>
      </c>
    </row>
    <row r="9" spans="2:4" x14ac:dyDescent="0.45">
      <c r="B9" t="s">
        <v>297</v>
      </c>
      <c r="C9" t="s">
        <v>288</v>
      </c>
      <c r="D9" s="88">
        <v>14</v>
      </c>
    </row>
    <row r="10" spans="2:4" x14ac:dyDescent="0.45">
      <c r="B10" t="s">
        <v>298</v>
      </c>
      <c r="C10" t="s">
        <v>288</v>
      </c>
      <c r="D10" s="88">
        <v>14</v>
      </c>
    </row>
    <row r="11" spans="2:4" x14ac:dyDescent="0.45">
      <c r="B11" t="s">
        <v>299</v>
      </c>
      <c r="C11" t="s">
        <v>300</v>
      </c>
      <c r="D11" s="88">
        <v>7</v>
      </c>
    </row>
    <row r="12" spans="2:4" x14ac:dyDescent="0.45">
      <c r="B12" t="s">
        <v>301</v>
      </c>
      <c r="C12" t="s">
        <v>300</v>
      </c>
      <c r="D12" s="88">
        <v>7</v>
      </c>
    </row>
    <row r="13" spans="2:4" x14ac:dyDescent="0.45">
      <c r="B13" t="s">
        <v>456</v>
      </c>
      <c r="C13" t="s">
        <v>288</v>
      </c>
      <c r="D13" s="88">
        <v>14</v>
      </c>
    </row>
    <row r="14" spans="2:4" x14ac:dyDescent="0.45">
      <c r="B14" t="s">
        <v>302</v>
      </c>
      <c r="C14" t="s">
        <v>288</v>
      </c>
      <c r="D14" s="88">
        <v>14</v>
      </c>
    </row>
    <row r="15" spans="2:4" x14ac:dyDescent="0.45">
      <c r="B15" t="s">
        <v>303</v>
      </c>
      <c r="C15" t="s">
        <v>288</v>
      </c>
      <c r="D15" s="88">
        <v>14</v>
      </c>
    </row>
    <row r="16" spans="2:4" x14ac:dyDescent="0.45">
      <c r="B16" t="s">
        <v>290</v>
      </c>
      <c r="C16" t="s">
        <v>287</v>
      </c>
      <c r="D16" s="88">
        <v>21</v>
      </c>
    </row>
    <row r="17" spans="2:4" x14ac:dyDescent="0.45">
      <c r="B17" t="s">
        <v>455</v>
      </c>
      <c r="C17" t="s">
        <v>288</v>
      </c>
      <c r="D17" s="88">
        <v>14</v>
      </c>
    </row>
    <row r="18" spans="2:4" x14ac:dyDescent="0.45">
      <c r="B18" t="s">
        <v>454</v>
      </c>
      <c r="C18" t="s">
        <v>288</v>
      </c>
      <c r="D18" s="88">
        <v>14</v>
      </c>
    </row>
    <row r="19" spans="2:4" x14ac:dyDescent="0.45">
      <c r="B19" t="s">
        <v>453</v>
      </c>
      <c r="C19" t="s">
        <v>300</v>
      </c>
      <c r="D19" s="88">
        <v>7</v>
      </c>
    </row>
    <row r="20" spans="2:4" x14ac:dyDescent="0.45">
      <c r="B20" t="s">
        <v>452</v>
      </c>
      <c r="C20" t="s">
        <v>288</v>
      </c>
      <c r="D20" s="88">
        <v>14</v>
      </c>
    </row>
    <row r="21" spans="2:4" x14ac:dyDescent="0.45">
      <c r="B21" t="s">
        <v>291</v>
      </c>
      <c r="C21" t="s">
        <v>287</v>
      </c>
      <c r="D21" s="88">
        <v>21</v>
      </c>
    </row>
    <row r="22" spans="2:4" x14ac:dyDescent="0.45">
      <c r="B22" t="s">
        <v>292</v>
      </c>
      <c r="C22" t="s">
        <v>287</v>
      </c>
      <c r="D22" s="88">
        <v>21</v>
      </c>
    </row>
    <row r="23" spans="2:4" x14ac:dyDescent="0.45">
      <c r="B23" t="s">
        <v>451</v>
      </c>
      <c r="C23" t="s">
        <v>288</v>
      </c>
      <c r="D23" s="88">
        <v>14</v>
      </c>
    </row>
    <row r="24" spans="2:4" x14ac:dyDescent="0.45">
      <c r="B24" t="s">
        <v>450</v>
      </c>
      <c r="C24" t="s">
        <v>288</v>
      </c>
      <c r="D24" s="88">
        <v>14</v>
      </c>
    </row>
    <row r="25" spans="2:4" x14ac:dyDescent="0.45">
      <c r="B25" t="s">
        <v>449</v>
      </c>
      <c r="C25" t="s">
        <v>288</v>
      </c>
      <c r="D25" s="88">
        <v>14</v>
      </c>
    </row>
    <row r="26" spans="2:4" x14ac:dyDescent="0.45">
      <c r="B26" t="s">
        <v>444</v>
      </c>
      <c r="C26" t="s">
        <v>288</v>
      </c>
      <c r="D26" s="88">
        <v>14</v>
      </c>
    </row>
    <row r="27" spans="2:4" x14ac:dyDescent="0.45">
      <c r="B27" t="s">
        <v>445</v>
      </c>
      <c r="C27" t="s">
        <v>288</v>
      </c>
      <c r="D27" s="88">
        <v>14</v>
      </c>
    </row>
    <row r="28" spans="2:4" x14ac:dyDescent="0.45">
      <c r="B28" t="s">
        <v>446</v>
      </c>
      <c r="C28" t="s">
        <v>288</v>
      </c>
      <c r="D28" s="88">
        <v>14</v>
      </c>
    </row>
    <row r="29" spans="2:4" x14ac:dyDescent="0.45">
      <c r="B29" t="s">
        <v>447</v>
      </c>
      <c r="C29" t="s">
        <v>287</v>
      </c>
      <c r="D29" s="88">
        <v>21</v>
      </c>
    </row>
    <row r="30" spans="2:4" x14ac:dyDescent="0.45">
      <c r="B30" t="s">
        <v>448</v>
      </c>
      <c r="C30" t="s">
        <v>287</v>
      </c>
      <c r="D30" s="88">
        <v>21</v>
      </c>
    </row>
    <row r="31" spans="2:4" x14ac:dyDescent="0.45">
      <c r="B31" t="s">
        <v>443</v>
      </c>
      <c r="C31" t="s">
        <v>288</v>
      </c>
      <c r="D31" s="88">
        <v>14</v>
      </c>
    </row>
    <row r="32" spans="2:4" x14ac:dyDescent="0.45">
      <c r="B32" t="s">
        <v>442</v>
      </c>
      <c r="C32" t="s">
        <v>287</v>
      </c>
      <c r="D32" s="88">
        <v>21</v>
      </c>
    </row>
    <row r="33" spans="2:4" x14ac:dyDescent="0.45">
      <c r="B33" t="s">
        <v>438</v>
      </c>
      <c r="C33" t="s">
        <v>288</v>
      </c>
      <c r="D33" s="88">
        <v>14</v>
      </c>
    </row>
    <row r="34" spans="2:4" x14ac:dyDescent="0.45">
      <c r="B34" t="s">
        <v>437</v>
      </c>
      <c r="C34" t="s">
        <v>300</v>
      </c>
      <c r="D34" s="88">
        <v>7</v>
      </c>
    </row>
    <row r="35" spans="2:4" x14ac:dyDescent="0.45">
      <c r="B35" t="s">
        <v>441</v>
      </c>
      <c r="C35" t="s">
        <v>287</v>
      </c>
      <c r="D35" s="88">
        <v>21</v>
      </c>
    </row>
    <row r="36" spans="2:4" x14ac:dyDescent="0.45">
      <c r="B36" t="s">
        <v>439</v>
      </c>
      <c r="C36" t="s">
        <v>287</v>
      </c>
      <c r="D36" s="88">
        <v>21</v>
      </c>
    </row>
    <row r="37" spans="2:4" x14ac:dyDescent="0.45">
      <c r="B37" t="s">
        <v>436</v>
      </c>
      <c r="C37" t="s">
        <v>300</v>
      </c>
      <c r="D37" s="88">
        <v>7</v>
      </c>
    </row>
    <row r="38" spans="2:4" x14ac:dyDescent="0.45">
      <c r="B38" t="s">
        <v>430</v>
      </c>
      <c r="C38" t="s">
        <v>288</v>
      </c>
      <c r="D38" s="88">
        <v>14</v>
      </c>
    </row>
    <row r="39" spans="2:4" x14ac:dyDescent="0.45">
      <c r="B39" t="s">
        <v>431</v>
      </c>
      <c r="C39" t="s">
        <v>300</v>
      </c>
      <c r="D39" s="88">
        <v>7</v>
      </c>
    </row>
    <row r="40" spans="2:4" x14ac:dyDescent="0.45">
      <c r="B40" t="s">
        <v>440</v>
      </c>
      <c r="C40" t="s">
        <v>287</v>
      </c>
      <c r="D40" s="88">
        <v>21</v>
      </c>
    </row>
    <row r="41" spans="2:4" x14ac:dyDescent="0.45">
      <c r="B41" t="s">
        <v>432</v>
      </c>
      <c r="C41" t="s">
        <v>288</v>
      </c>
      <c r="D41" s="88">
        <v>14</v>
      </c>
    </row>
    <row r="42" spans="2:4" x14ac:dyDescent="0.45">
      <c r="B42" t="s">
        <v>435</v>
      </c>
      <c r="C42" t="s">
        <v>287</v>
      </c>
      <c r="D42" s="88">
        <v>21</v>
      </c>
    </row>
    <row r="43" spans="2:4" x14ac:dyDescent="0.45">
      <c r="B43" t="s">
        <v>433</v>
      </c>
      <c r="C43" t="s">
        <v>288</v>
      </c>
      <c r="D43" s="88">
        <v>14</v>
      </c>
    </row>
    <row r="44" spans="2:4" x14ac:dyDescent="0.45">
      <c r="B44" t="s">
        <v>434</v>
      </c>
      <c r="C44" t="s">
        <v>288</v>
      </c>
      <c r="D44" s="88">
        <v>14</v>
      </c>
    </row>
    <row r="45" spans="2:4" x14ac:dyDescent="0.45">
      <c r="B45" t="s">
        <v>429</v>
      </c>
      <c r="C45" t="s">
        <v>288</v>
      </c>
      <c r="D45" s="88">
        <v>14</v>
      </c>
    </row>
    <row r="46" spans="2:4" x14ac:dyDescent="0.45">
      <c r="B46" t="s">
        <v>420</v>
      </c>
      <c r="C46" t="s">
        <v>288</v>
      </c>
      <c r="D46" s="88">
        <v>14</v>
      </c>
    </row>
    <row r="47" spans="2:4" x14ac:dyDescent="0.45">
      <c r="B47" t="s">
        <v>419</v>
      </c>
      <c r="C47" t="s">
        <v>288</v>
      </c>
      <c r="D47" s="88">
        <v>14</v>
      </c>
    </row>
    <row r="48" spans="2:4" x14ac:dyDescent="0.45">
      <c r="B48" t="s">
        <v>421</v>
      </c>
      <c r="C48" t="s">
        <v>300</v>
      </c>
      <c r="D48" s="88">
        <v>7</v>
      </c>
    </row>
    <row r="49" spans="2:4" x14ac:dyDescent="0.45">
      <c r="B49" t="s">
        <v>422</v>
      </c>
      <c r="C49" t="s">
        <v>300</v>
      </c>
      <c r="D49" s="88">
        <v>7</v>
      </c>
    </row>
    <row r="50" spans="2:4" x14ac:dyDescent="0.45">
      <c r="B50" t="s">
        <v>426</v>
      </c>
      <c r="C50" t="s">
        <v>287</v>
      </c>
      <c r="D50" s="88">
        <v>21</v>
      </c>
    </row>
    <row r="51" spans="2:4" x14ac:dyDescent="0.45">
      <c r="B51" t="s">
        <v>427</v>
      </c>
      <c r="C51" t="s">
        <v>288</v>
      </c>
      <c r="D51" s="88">
        <v>14</v>
      </c>
    </row>
    <row r="52" spans="2:4" x14ac:dyDescent="0.45">
      <c r="B52" t="s">
        <v>428</v>
      </c>
      <c r="C52" t="s">
        <v>288</v>
      </c>
      <c r="D52" s="88">
        <v>14</v>
      </c>
    </row>
    <row r="53" spans="2:4" x14ac:dyDescent="0.45">
      <c r="B53" t="s">
        <v>423</v>
      </c>
      <c r="C53" t="s">
        <v>288</v>
      </c>
      <c r="D53" s="88">
        <v>14</v>
      </c>
    </row>
    <row r="54" spans="2:4" x14ac:dyDescent="0.45">
      <c r="B54" t="s">
        <v>424</v>
      </c>
      <c r="C54" t="s">
        <v>288</v>
      </c>
      <c r="D54" s="88">
        <v>14</v>
      </c>
    </row>
    <row r="55" spans="2:4" x14ac:dyDescent="0.45">
      <c r="B55" t="s">
        <v>425</v>
      </c>
      <c r="C55" t="s">
        <v>288</v>
      </c>
      <c r="D55" s="88">
        <v>14</v>
      </c>
    </row>
    <row r="56" spans="2:4" x14ac:dyDescent="0.45">
      <c r="B56" t="s">
        <v>464</v>
      </c>
      <c r="C56" t="s">
        <v>288</v>
      </c>
      <c r="D56" s="88">
        <v>14</v>
      </c>
    </row>
    <row r="57" spans="2:4" x14ac:dyDescent="0.45">
      <c r="B57" t="s">
        <v>418</v>
      </c>
      <c r="C57" t="s">
        <v>287</v>
      </c>
      <c r="D57" s="88">
        <v>21</v>
      </c>
    </row>
    <row r="58" spans="2:4" x14ac:dyDescent="0.45">
      <c r="B58" t="s">
        <v>417</v>
      </c>
      <c r="C58" t="s">
        <v>300</v>
      </c>
      <c r="D58" s="88">
        <v>7</v>
      </c>
    </row>
    <row r="59" spans="2:4" x14ac:dyDescent="0.45">
      <c r="B59" t="s">
        <v>416</v>
      </c>
      <c r="C59" t="s">
        <v>288</v>
      </c>
      <c r="D59" s="88">
        <v>14</v>
      </c>
    </row>
    <row r="60" spans="2:4" x14ac:dyDescent="0.45">
      <c r="B60" t="s">
        <v>415</v>
      </c>
      <c r="C60" t="s">
        <v>287</v>
      </c>
      <c r="D60" s="88">
        <v>21</v>
      </c>
    </row>
    <row r="61" spans="2:4" x14ac:dyDescent="0.45">
      <c r="B61" t="s">
        <v>404</v>
      </c>
      <c r="C61" t="s">
        <v>288</v>
      </c>
      <c r="D61" s="88">
        <v>14</v>
      </c>
    </row>
    <row r="62" spans="2:4" x14ac:dyDescent="0.45">
      <c r="B62" t="s">
        <v>405</v>
      </c>
      <c r="C62" t="s">
        <v>300</v>
      </c>
      <c r="D62" s="88">
        <v>7</v>
      </c>
    </row>
    <row r="63" spans="2:4" x14ac:dyDescent="0.45">
      <c r="B63" t="s">
        <v>406</v>
      </c>
      <c r="C63" t="s">
        <v>300</v>
      </c>
      <c r="D63" s="88">
        <v>7</v>
      </c>
    </row>
    <row r="64" spans="2:4" x14ac:dyDescent="0.45">
      <c r="B64" t="s">
        <v>407</v>
      </c>
      <c r="C64" t="s">
        <v>288</v>
      </c>
      <c r="D64" s="88">
        <v>14</v>
      </c>
    </row>
    <row r="65" spans="2:4" x14ac:dyDescent="0.45">
      <c r="B65" t="s">
        <v>408</v>
      </c>
      <c r="C65" t="s">
        <v>287</v>
      </c>
      <c r="D65" s="88">
        <v>21</v>
      </c>
    </row>
    <row r="66" spans="2:4" x14ac:dyDescent="0.45">
      <c r="B66" t="s">
        <v>409</v>
      </c>
      <c r="C66" t="s">
        <v>288</v>
      </c>
      <c r="D66" s="88">
        <v>14</v>
      </c>
    </row>
    <row r="67" spans="2:4" x14ac:dyDescent="0.45">
      <c r="B67" t="s">
        <v>410</v>
      </c>
      <c r="C67" t="s">
        <v>300</v>
      </c>
      <c r="D67" s="88">
        <v>7</v>
      </c>
    </row>
    <row r="68" spans="2:4" x14ac:dyDescent="0.45">
      <c r="B68" t="s">
        <v>411</v>
      </c>
      <c r="C68" t="s">
        <v>288</v>
      </c>
      <c r="D68" s="88">
        <v>14</v>
      </c>
    </row>
    <row r="69" spans="2:4" x14ac:dyDescent="0.45">
      <c r="B69" t="s">
        <v>412</v>
      </c>
      <c r="C69" t="s">
        <v>300</v>
      </c>
      <c r="D69" s="88">
        <v>7</v>
      </c>
    </row>
    <row r="70" spans="2:4" x14ac:dyDescent="0.45">
      <c r="B70" t="s">
        <v>413</v>
      </c>
      <c r="C70" t="s">
        <v>288</v>
      </c>
      <c r="D70" s="88">
        <v>14</v>
      </c>
    </row>
    <row r="71" spans="2:4" x14ac:dyDescent="0.45">
      <c r="B71" t="s">
        <v>414</v>
      </c>
      <c r="C71" t="s">
        <v>288</v>
      </c>
      <c r="D71" s="88">
        <v>14</v>
      </c>
    </row>
    <row r="72" spans="2:4" x14ac:dyDescent="0.45">
      <c r="B72" t="s">
        <v>400</v>
      </c>
      <c r="C72" t="s">
        <v>287</v>
      </c>
      <c r="D72" s="88">
        <v>21</v>
      </c>
    </row>
    <row r="73" spans="2:4" x14ac:dyDescent="0.45">
      <c r="B73" t="s">
        <v>401</v>
      </c>
      <c r="C73" t="s">
        <v>287</v>
      </c>
      <c r="D73" s="88">
        <v>21</v>
      </c>
    </row>
    <row r="74" spans="2:4" x14ac:dyDescent="0.45">
      <c r="B74" t="s">
        <v>403</v>
      </c>
      <c r="C74" t="s">
        <v>288</v>
      </c>
      <c r="D74" s="88">
        <v>14</v>
      </c>
    </row>
    <row r="75" spans="2:4" x14ac:dyDescent="0.45">
      <c r="B75" t="s">
        <v>402</v>
      </c>
      <c r="C75" t="s">
        <v>287</v>
      </c>
      <c r="D75" s="88">
        <v>21</v>
      </c>
    </row>
    <row r="76" spans="2:4" x14ac:dyDescent="0.45">
      <c r="B76" t="s">
        <v>393</v>
      </c>
      <c r="C76" t="s">
        <v>288</v>
      </c>
      <c r="D76" s="88">
        <v>14</v>
      </c>
    </row>
    <row r="77" spans="2:4" x14ac:dyDescent="0.45">
      <c r="B77" t="s">
        <v>394</v>
      </c>
      <c r="C77" t="s">
        <v>288</v>
      </c>
      <c r="D77" s="88">
        <v>14</v>
      </c>
    </row>
    <row r="78" spans="2:4" x14ac:dyDescent="0.45">
      <c r="B78" t="s">
        <v>395</v>
      </c>
      <c r="C78" t="s">
        <v>300</v>
      </c>
      <c r="D78" s="88">
        <v>7</v>
      </c>
    </row>
    <row r="79" spans="2:4" x14ac:dyDescent="0.45">
      <c r="B79" t="s">
        <v>396</v>
      </c>
      <c r="C79" t="s">
        <v>300</v>
      </c>
      <c r="D79" s="88">
        <v>7</v>
      </c>
    </row>
    <row r="80" spans="2:4" x14ac:dyDescent="0.45">
      <c r="B80" t="s">
        <v>397</v>
      </c>
      <c r="C80" t="s">
        <v>288</v>
      </c>
      <c r="D80" s="88">
        <v>14</v>
      </c>
    </row>
    <row r="81" spans="2:4" x14ac:dyDescent="0.45">
      <c r="B81" t="s">
        <v>398</v>
      </c>
      <c r="C81" t="s">
        <v>288</v>
      </c>
      <c r="D81" s="88">
        <v>14</v>
      </c>
    </row>
    <row r="82" spans="2:4" x14ac:dyDescent="0.45">
      <c r="B82" t="s">
        <v>399</v>
      </c>
      <c r="C82" t="s">
        <v>288</v>
      </c>
      <c r="D82" s="88">
        <v>14</v>
      </c>
    </row>
    <row r="83" spans="2:4" x14ac:dyDescent="0.45">
      <c r="B83" t="s">
        <v>392</v>
      </c>
      <c r="C83" t="s">
        <v>288</v>
      </c>
      <c r="D83" s="88">
        <v>14</v>
      </c>
    </row>
    <row r="84" spans="2:4" x14ac:dyDescent="0.45">
      <c r="B84" t="s">
        <v>391</v>
      </c>
      <c r="C84" t="s">
        <v>300</v>
      </c>
      <c r="D84" s="88">
        <v>7</v>
      </c>
    </row>
    <row r="85" spans="2:4" x14ac:dyDescent="0.45">
      <c r="B85" t="s">
        <v>390</v>
      </c>
      <c r="C85" t="s">
        <v>300</v>
      </c>
      <c r="D85" s="88">
        <v>7</v>
      </c>
    </row>
    <row r="86" spans="2:4" x14ac:dyDescent="0.45">
      <c r="B86" t="s">
        <v>388</v>
      </c>
      <c r="C86" t="s">
        <v>300</v>
      </c>
      <c r="D86" s="88">
        <v>7</v>
      </c>
    </row>
    <row r="87" spans="2:4" x14ac:dyDescent="0.45">
      <c r="B87" t="s">
        <v>245</v>
      </c>
      <c r="C87" t="s">
        <v>288</v>
      </c>
      <c r="D87" s="88">
        <v>14</v>
      </c>
    </row>
    <row r="88" spans="2:4" x14ac:dyDescent="0.45">
      <c r="B88" t="s">
        <v>389</v>
      </c>
      <c r="C88" t="s">
        <v>300</v>
      </c>
      <c r="D88" s="88">
        <v>7</v>
      </c>
    </row>
    <row r="89" spans="2:4" x14ac:dyDescent="0.45">
      <c r="B89" t="s">
        <v>383</v>
      </c>
      <c r="C89" t="s">
        <v>288</v>
      </c>
      <c r="D89" s="88">
        <v>14</v>
      </c>
    </row>
    <row r="90" spans="2:4" x14ac:dyDescent="0.45">
      <c r="B90" t="s">
        <v>381</v>
      </c>
      <c r="C90" t="s">
        <v>288</v>
      </c>
      <c r="D90" s="88">
        <v>14</v>
      </c>
    </row>
    <row r="91" spans="2:4" x14ac:dyDescent="0.45">
      <c r="B91" t="s">
        <v>382</v>
      </c>
      <c r="C91" t="s">
        <v>288</v>
      </c>
      <c r="D91" s="88">
        <v>14</v>
      </c>
    </row>
    <row r="92" spans="2:4" x14ac:dyDescent="0.45">
      <c r="B92" t="s">
        <v>384</v>
      </c>
      <c r="C92" t="s">
        <v>287</v>
      </c>
      <c r="D92" s="88">
        <v>21</v>
      </c>
    </row>
    <row r="93" spans="2:4" x14ac:dyDescent="0.45">
      <c r="B93" t="s">
        <v>385</v>
      </c>
      <c r="C93" t="s">
        <v>288</v>
      </c>
      <c r="D93" s="88">
        <v>14</v>
      </c>
    </row>
    <row r="94" spans="2:4" x14ac:dyDescent="0.45">
      <c r="B94" t="s">
        <v>386</v>
      </c>
      <c r="C94" t="s">
        <v>300</v>
      </c>
      <c r="D94" s="88">
        <v>7</v>
      </c>
    </row>
    <row r="95" spans="2:4" x14ac:dyDescent="0.45">
      <c r="B95" t="s">
        <v>387</v>
      </c>
      <c r="C95" t="s">
        <v>288</v>
      </c>
      <c r="D95" s="88">
        <v>14</v>
      </c>
    </row>
    <row r="96" spans="2:4" x14ac:dyDescent="0.45">
      <c r="B96" t="s">
        <v>379</v>
      </c>
      <c r="C96" t="s">
        <v>288</v>
      </c>
      <c r="D96" s="88">
        <v>14</v>
      </c>
    </row>
    <row r="97" spans="2:4" x14ac:dyDescent="0.45">
      <c r="B97" t="s">
        <v>380</v>
      </c>
      <c r="C97" t="s">
        <v>287</v>
      </c>
      <c r="D97" s="88">
        <v>21</v>
      </c>
    </row>
    <row r="98" spans="2:4" x14ac:dyDescent="0.45">
      <c r="B98" t="s">
        <v>378</v>
      </c>
      <c r="C98" t="s">
        <v>300</v>
      </c>
      <c r="D98" s="88">
        <v>7</v>
      </c>
    </row>
    <row r="99" spans="2:4" x14ac:dyDescent="0.45">
      <c r="B99" t="s">
        <v>377</v>
      </c>
      <c r="C99" t="s">
        <v>288</v>
      </c>
      <c r="D99" s="88">
        <v>14</v>
      </c>
    </row>
    <row r="100" spans="2:4" x14ac:dyDescent="0.45">
      <c r="B100" t="s">
        <v>376</v>
      </c>
      <c r="C100" t="s">
        <v>287</v>
      </c>
      <c r="D100" s="88">
        <v>21</v>
      </c>
    </row>
    <row r="101" spans="2:4" x14ac:dyDescent="0.45">
      <c r="B101" t="s">
        <v>375</v>
      </c>
      <c r="C101" t="s">
        <v>287</v>
      </c>
      <c r="D101" s="88">
        <v>21</v>
      </c>
    </row>
    <row r="102" spans="2:4" x14ac:dyDescent="0.45">
      <c r="B102" t="s">
        <v>457</v>
      </c>
      <c r="C102" t="s">
        <v>288</v>
      </c>
      <c r="D102" s="88">
        <v>14</v>
      </c>
    </row>
    <row r="103" spans="2:4" x14ac:dyDescent="0.45">
      <c r="B103" t="s">
        <v>374</v>
      </c>
      <c r="C103" t="s">
        <v>288</v>
      </c>
      <c r="D103" s="88">
        <v>14</v>
      </c>
    </row>
    <row r="104" spans="2:4" x14ac:dyDescent="0.45">
      <c r="B104" t="s">
        <v>369</v>
      </c>
      <c r="C104" t="s">
        <v>300</v>
      </c>
      <c r="D104" s="88">
        <v>7</v>
      </c>
    </row>
    <row r="105" spans="2:4" x14ac:dyDescent="0.45">
      <c r="B105" t="s">
        <v>370</v>
      </c>
      <c r="C105" t="s">
        <v>300</v>
      </c>
      <c r="D105" s="88">
        <v>7</v>
      </c>
    </row>
    <row r="106" spans="2:4" x14ac:dyDescent="0.45">
      <c r="B106" t="s">
        <v>371</v>
      </c>
      <c r="C106" t="s">
        <v>287</v>
      </c>
      <c r="D106" s="88">
        <v>21</v>
      </c>
    </row>
    <row r="107" spans="2:4" x14ac:dyDescent="0.45">
      <c r="B107" t="s">
        <v>372</v>
      </c>
      <c r="C107" t="s">
        <v>287</v>
      </c>
      <c r="D107" s="88">
        <v>21</v>
      </c>
    </row>
    <row r="108" spans="2:4" x14ac:dyDescent="0.45">
      <c r="B108" t="s">
        <v>373</v>
      </c>
      <c r="C108" t="s">
        <v>288</v>
      </c>
      <c r="D108" s="88">
        <v>14</v>
      </c>
    </row>
    <row r="109" spans="2:4" x14ac:dyDescent="0.45">
      <c r="B109" t="s">
        <v>368</v>
      </c>
      <c r="C109" t="s">
        <v>288</v>
      </c>
      <c r="D109" s="88">
        <v>14</v>
      </c>
    </row>
    <row r="110" spans="2:4" x14ac:dyDescent="0.45">
      <c r="B110" t="s">
        <v>365</v>
      </c>
      <c r="C110" t="s">
        <v>287</v>
      </c>
      <c r="D110" s="88">
        <v>21</v>
      </c>
    </row>
    <row r="111" spans="2:4" x14ac:dyDescent="0.45">
      <c r="B111" t="s">
        <v>366</v>
      </c>
      <c r="C111" t="s">
        <v>288</v>
      </c>
      <c r="D111" s="88">
        <v>14</v>
      </c>
    </row>
    <row r="112" spans="2:4" x14ac:dyDescent="0.45">
      <c r="B112" t="s">
        <v>367</v>
      </c>
      <c r="C112" t="s">
        <v>288</v>
      </c>
      <c r="D112" s="88">
        <v>14</v>
      </c>
    </row>
    <row r="113" spans="2:4" x14ac:dyDescent="0.45">
      <c r="B113" t="s">
        <v>363</v>
      </c>
      <c r="C113" t="s">
        <v>287</v>
      </c>
      <c r="D113" s="88">
        <v>21</v>
      </c>
    </row>
    <row r="114" spans="2:4" x14ac:dyDescent="0.45">
      <c r="B114" t="s">
        <v>364</v>
      </c>
      <c r="C114" t="s">
        <v>288</v>
      </c>
      <c r="D114" s="88">
        <v>14</v>
      </c>
    </row>
    <row r="115" spans="2:4" x14ac:dyDescent="0.45">
      <c r="B115" t="s">
        <v>362</v>
      </c>
      <c r="C115" t="s">
        <v>300</v>
      </c>
      <c r="D115" s="88">
        <v>7</v>
      </c>
    </row>
    <row r="116" spans="2:4" x14ac:dyDescent="0.45">
      <c r="B116" t="s">
        <v>361</v>
      </c>
      <c r="C116" t="s">
        <v>288</v>
      </c>
      <c r="D116" s="88">
        <v>14</v>
      </c>
    </row>
    <row r="117" spans="2:4" x14ac:dyDescent="0.45">
      <c r="B117" t="s">
        <v>360</v>
      </c>
      <c r="C117" t="s">
        <v>288</v>
      </c>
      <c r="D117" s="88">
        <v>14</v>
      </c>
    </row>
    <row r="118" spans="2:4" x14ac:dyDescent="0.45">
      <c r="B118" t="s">
        <v>359</v>
      </c>
      <c r="C118" t="s">
        <v>288</v>
      </c>
      <c r="D118" s="88">
        <v>14</v>
      </c>
    </row>
    <row r="119" spans="2:4" x14ac:dyDescent="0.45">
      <c r="B119" t="s">
        <v>293</v>
      </c>
      <c r="C119" t="s">
        <v>288</v>
      </c>
      <c r="D119" s="88">
        <v>14</v>
      </c>
    </row>
    <row r="120" spans="2:4" x14ac:dyDescent="0.45">
      <c r="B120" t="s">
        <v>294</v>
      </c>
      <c r="C120" t="s">
        <v>288</v>
      </c>
      <c r="D120" s="88">
        <v>14</v>
      </c>
    </row>
    <row r="121" spans="2:4" x14ac:dyDescent="0.45">
      <c r="B121" t="s">
        <v>458</v>
      </c>
      <c r="C121" t="s">
        <v>288</v>
      </c>
      <c r="D121" s="88">
        <v>14</v>
      </c>
    </row>
    <row r="122" spans="2:4" x14ac:dyDescent="0.45">
      <c r="B122" t="s">
        <v>357</v>
      </c>
      <c r="C122" t="s">
        <v>287</v>
      </c>
      <c r="D122" s="88">
        <v>21</v>
      </c>
    </row>
    <row r="123" spans="2:4" x14ac:dyDescent="0.45">
      <c r="B123" t="s">
        <v>358</v>
      </c>
      <c r="C123" t="s">
        <v>287</v>
      </c>
      <c r="D123" s="88">
        <v>21</v>
      </c>
    </row>
    <row r="124" spans="2:4" x14ac:dyDescent="0.45">
      <c r="B124" t="s">
        <v>356</v>
      </c>
      <c r="C124" t="s">
        <v>288</v>
      </c>
      <c r="D124" s="88">
        <v>14</v>
      </c>
    </row>
    <row r="125" spans="2:4" x14ac:dyDescent="0.45">
      <c r="B125" t="s">
        <v>355</v>
      </c>
      <c r="C125" t="s">
        <v>288</v>
      </c>
      <c r="D125" s="88">
        <v>14</v>
      </c>
    </row>
    <row r="126" spans="2:4" x14ac:dyDescent="0.45">
      <c r="B126" t="s">
        <v>354</v>
      </c>
      <c r="C126" t="s">
        <v>287</v>
      </c>
      <c r="D126" s="88">
        <v>21</v>
      </c>
    </row>
    <row r="127" spans="2:4" x14ac:dyDescent="0.45">
      <c r="B127" t="s">
        <v>353</v>
      </c>
      <c r="C127" t="s">
        <v>300</v>
      </c>
      <c r="D127" s="88">
        <v>7</v>
      </c>
    </row>
    <row r="128" spans="2:4" x14ac:dyDescent="0.45">
      <c r="B128" t="s">
        <v>352</v>
      </c>
      <c r="C128" t="s">
        <v>300</v>
      </c>
      <c r="D128" s="88">
        <v>7</v>
      </c>
    </row>
    <row r="129" spans="2:4" x14ac:dyDescent="0.45">
      <c r="B129" t="s">
        <v>351</v>
      </c>
      <c r="C129" t="s">
        <v>288</v>
      </c>
      <c r="D129" s="88">
        <v>14</v>
      </c>
    </row>
    <row r="130" spans="2:4" x14ac:dyDescent="0.45">
      <c r="B130" t="s">
        <v>350</v>
      </c>
      <c r="C130" t="s">
        <v>287</v>
      </c>
      <c r="D130" s="88">
        <v>21</v>
      </c>
    </row>
    <row r="131" spans="2:4" x14ac:dyDescent="0.45">
      <c r="B131" t="s">
        <v>349</v>
      </c>
      <c r="C131" t="s">
        <v>288</v>
      </c>
      <c r="D131" s="88">
        <v>14</v>
      </c>
    </row>
    <row r="132" spans="2:4" x14ac:dyDescent="0.45">
      <c r="B132" t="s">
        <v>348</v>
      </c>
      <c r="C132" t="s">
        <v>288</v>
      </c>
      <c r="D132" s="88">
        <v>14</v>
      </c>
    </row>
    <row r="133" spans="2:4" x14ac:dyDescent="0.45">
      <c r="B133" t="s">
        <v>346</v>
      </c>
      <c r="C133" t="s">
        <v>300</v>
      </c>
      <c r="D133" s="88">
        <v>7</v>
      </c>
    </row>
    <row r="134" spans="2:4" x14ac:dyDescent="0.45">
      <c r="B134" t="s">
        <v>347</v>
      </c>
      <c r="C134" t="s">
        <v>288</v>
      </c>
      <c r="D134" s="88">
        <v>14</v>
      </c>
    </row>
    <row r="135" spans="2:4" x14ac:dyDescent="0.45">
      <c r="B135" t="s">
        <v>345</v>
      </c>
      <c r="C135" t="s">
        <v>288</v>
      </c>
      <c r="D135" s="88">
        <v>14</v>
      </c>
    </row>
    <row r="136" spans="2:4" x14ac:dyDescent="0.45">
      <c r="B136" t="s">
        <v>344</v>
      </c>
      <c r="C136" t="s">
        <v>288</v>
      </c>
      <c r="D136" s="88">
        <v>14</v>
      </c>
    </row>
    <row r="137" spans="2:4" x14ac:dyDescent="0.45">
      <c r="B137" t="s">
        <v>295</v>
      </c>
      <c r="C137" t="s">
        <v>288</v>
      </c>
      <c r="D137" s="88">
        <v>14</v>
      </c>
    </row>
    <row r="138" spans="2:4" x14ac:dyDescent="0.45">
      <c r="B138" t="s">
        <v>459</v>
      </c>
      <c r="C138" t="s">
        <v>288</v>
      </c>
      <c r="D138" s="88">
        <v>14</v>
      </c>
    </row>
    <row r="139" spans="2:4" x14ac:dyDescent="0.45">
      <c r="B139" t="s">
        <v>460</v>
      </c>
      <c r="C139" t="s">
        <v>288</v>
      </c>
      <c r="D139" s="88">
        <v>14</v>
      </c>
    </row>
    <row r="140" spans="2:4" x14ac:dyDescent="0.45">
      <c r="B140" t="s">
        <v>461</v>
      </c>
      <c r="C140" t="s">
        <v>288</v>
      </c>
      <c r="D140" s="88">
        <v>14</v>
      </c>
    </row>
    <row r="141" spans="2:4" x14ac:dyDescent="0.45">
      <c r="B141" t="s">
        <v>463</v>
      </c>
      <c r="C141" t="s">
        <v>288</v>
      </c>
      <c r="D141" s="88">
        <v>14</v>
      </c>
    </row>
    <row r="142" spans="2:4" x14ac:dyDescent="0.45">
      <c r="B142" t="s">
        <v>462</v>
      </c>
      <c r="C142" t="s">
        <v>300</v>
      </c>
      <c r="D142" s="88">
        <v>7</v>
      </c>
    </row>
    <row r="143" spans="2:4" x14ac:dyDescent="0.45">
      <c r="B143" t="s">
        <v>342</v>
      </c>
      <c r="C143" t="s">
        <v>300</v>
      </c>
      <c r="D143" s="88">
        <v>7</v>
      </c>
    </row>
    <row r="144" spans="2:4" x14ac:dyDescent="0.45">
      <c r="B144" t="s">
        <v>341</v>
      </c>
      <c r="C144" t="s">
        <v>288</v>
      </c>
      <c r="D144" s="88">
        <v>14</v>
      </c>
    </row>
    <row r="145" spans="2:4" x14ac:dyDescent="0.45">
      <c r="B145" t="s">
        <v>340</v>
      </c>
      <c r="C145" t="s">
        <v>288</v>
      </c>
      <c r="D145" s="88">
        <v>14</v>
      </c>
    </row>
    <row r="146" spans="2:4" x14ac:dyDescent="0.45">
      <c r="B146" t="s">
        <v>339</v>
      </c>
      <c r="C146" t="s">
        <v>288</v>
      </c>
      <c r="D146" s="88">
        <v>14</v>
      </c>
    </row>
    <row r="147" spans="2:4" x14ac:dyDescent="0.45">
      <c r="B147" t="s">
        <v>286</v>
      </c>
      <c r="C147" t="s">
        <v>287</v>
      </c>
      <c r="D147" s="88">
        <v>21</v>
      </c>
    </row>
    <row r="148" spans="2:4" x14ac:dyDescent="0.45">
      <c r="B148" t="s">
        <v>343</v>
      </c>
      <c r="C148" t="s">
        <v>288</v>
      </c>
      <c r="D148" s="88">
        <v>14</v>
      </c>
    </row>
    <row r="149" spans="2:4" x14ac:dyDescent="0.45">
      <c r="B149" t="s">
        <v>338</v>
      </c>
      <c r="C149" t="s">
        <v>288</v>
      </c>
      <c r="D149" s="88">
        <v>14</v>
      </c>
    </row>
    <row r="150" spans="2:4" x14ac:dyDescent="0.45">
      <c r="B150" t="s">
        <v>337</v>
      </c>
      <c r="C150" t="s">
        <v>288</v>
      </c>
      <c r="D150" s="88">
        <v>14</v>
      </c>
    </row>
    <row r="151" spans="2:4" x14ac:dyDescent="0.45">
      <c r="B151" t="s">
        <v>336</v>
      </c>
      <c r="C151" t="s">
        <v>288</v>
      </c>
      <c r="D151" s="88">
        <v>14</v>
      </c>
    </row>
    <row r="152" spans="2:4" x14ac:dyDescent="0.45">
      <c r="B152" t="s">
        <v>335</v>
      </c>
      <c r="C152" t="s">
        <v>288</v>
      </c>
      <c r="D152" s="88">
        <v>14</v>
      </c>
    </row>
    <row r="153" spans="2:4" x14ac:dyDescent="0.45">
      <c r="B153" t="s">
        <v>334</v>
      </c>
      <c r="C153" t="s">
        <v>287</v>
      </c>
      <c r="D153" s="88">
        <v>21</v>
      </c>
    </row>
    <row r="154" spans="2:4" x14ac:dyDescent="0.45">
      <c r="B154" t="s">
        <v>333</v>
      </c>
      <c r="C154" t="s">
        <v>288</v>
      </c>
      <c r="D154" s="88">
        <v>14</v>
      </c>
    </row>
    <row r="155" spans="2:4" x14ac:dyDescent="0.45">
      <c r="B155" t="s">
        <v>332</v>
      </c>
      <c r="C155" t="s">
        <v>287</v>
      </c>
      <c r="D155" s="88">
        <v>21</v>
      </c>
    </row>
    <row r="156" spans="2:4" x14ac:dyDescent="0.45">
      <c r="B156" t="s">
        <v>330</v>
      </c>
      <c r="C156" t="s">
        <v>288</v>
      </c>
      <c r="D156" s="88">
        <v>14</v>
      </c>
    </row>
    <row r="157" spans="2:4" x14ac:dyDescent="0.45">
      <c r="B157" t="s">
        <v>331</v>
      </c>
      <c r="C157" t="s">
        <v>288</v>
      </c>
      <c r="D157" s="88">
        <v>14</v>
      </c>
    </row>
    <row r="158" spans="2:4" x14ac:dyDescent="0.45">
      <c r="B158" t="s">
        <v>329</v>
      </c>
      <c r="C158" t="s">
        <v>287</v>
      </c>
      <c r="D158" s="88">
        <v>21</v>
      </c>
    </row>
    <row r="159" spans="2:4" x14ac:dyDescent="0.45">
      <c r="B159" t="s">
        <v>328</v>
      </c>
      <c r="C159" t="s">
        <v>288</v>
      </c>
      <c r="D159" s="88">
        <v>14</v>
      </c>
    </row>
    <row r="160" spans="2:4" x14ac:dyDescent="0.45">
      <c r="B160" t="s">
        <v>327</v>
      </c>
      <c r="C160" t="s">
        <v>300</v>
      </c>
      <c r="D160" s="88">
        <v>7</v>
      </c>
    </row>
    <row r="161" spans="2:4" x14ac:dyDescent="0.45">
      <c r="B161" t="s">
        <v>326</v>
      </c>
      <c r="C161" t="s">
        <v>300</v>
      </c>
      <c r="D161" s="88">
        <v>7</v>
      </c>
    </row>
    <row r="162" spans="2:4" x14ac:dyDescent="0.45">
      <c r="B162" t="s">
        <v>325</v>
      </c>
      <c r="C162" t="s">
        <v>287</v>
      </c>
      <c r="D162" s="88">
        <v>21</v>
      </c>
    </row>
    <row r="163" spans="2:4" x14ac:dyDescent="0.45">
      <c r="B163" t="s">
        <v>324</v>
      </c>
      <c r="C163" t="s">
        <v>287</v>
      </c>
      <c r="D163" s="88">
        <v>21</v>
      </c>
    </row>
    <row r="164" spans="2:4" x14ac:dyDescent="0.45">
      <c r="B164" t="s">
        <v>323</v>
      </c>
      <c r="C164" t="s">
        <v>288</v>
      </c>
      <c r="D164" s="88">
        <v>14</v>
      </c>
    </row>
    <row r="165" spans="2:4" x14ac:dyDescent="0.45">
      <c r="B165" t="s">
        <v>322</v>
      </c>
      <c r="C165" t="s">
        <v>287</v>
      </c>
      <c r="D165" s="88">
        <v>21</v>
      </c>
    </row>
    <row r="166" spans="2:4" x14ac:dyDescent="0.45">
      <c r="B166" t="s">
        <v>321</v>
      </c>
      <c r="C166" t="s">
        <v>300</v>
      </c>
      <c r="D166" s="88">
        <v>7</v>
      </c>
    </row>
    <row r="167" spans="2:4" x14ac:dyDescent="0.45">
      <c r="B167" t="s">
        <v>320</v>
      </c>
      <c r="C167" t="s">
        <v>288</v>
      </c>
      <c r="D167" s="88">
        <v>14</v>
      </c>
    </row>
    <row r="168" spans="2:4" x14ac:dyDescent="0.45">
      <c r="B168" t="s">
        <v>319</v>
      </c>
      <c r="C168" t="s">
        <v>287</v>
      </c>
      <c r="D168" s="88">
        <v>21</v>
      </c>
    </row>
    <row r="169" spans="2:4" x14ac:dyDescent="0.45">
      <c r="B169" t="s">
        <v>317</v>
      </c>
      <c r="C169" t="s">
        <v>288</v>
      </c>
      <c r="D169" s="88">
        <v>14</v>
      </c>
    </row>
    <row r="170" spans="2:4" x14ac:dyDescent="0.45">
      <c r="B170" t="s">
        <v>316</v>
      </c>
      <c r="C170" t="s">
        <v>300</v>
      </c>
      <c r="D170" s="88">
        <v>7</v>
      </c>
    </row>
    <row r="171" spans="2:4" x14ac:dyDescent="0.45">
      <c r="B171" t="s">
        <v>315</v>
      </c>
      <c r="C171" t="s">
        <v>300</v>
      </c>
      <c r="D171" s="88">
        <v>7</v>
      </c>
    </row>
    <row r="172" spans="2:4" x14ac:dyDescent="0.45">
      <c r="B172" t="s">
        <v>318</v>
      </c>
      <c r="C172" t="s">
        <v>288</v>
      </c>
      <c r="D172" s="88">
        <v>14</v>
      </c>
    </row>
    <row r="173" spans="2:4" x14ac:dyDescent="0.45">
      <c r="B173" t="s">
        <v>314</v>
      </c>
      <c r="C173" t="s">
        <v>288</v>
      </c>
      <c r="D173" s="88">
        <v>14</v>
      </c>
    </row>
    <row r="174" spans="2:4" x14ac:dyDescent="0.45">
      <c r="B174" t="s">
        <v>313</v>
      </c>
      <c r="C174" t="s">
        <v>287</v>
      </c>
      <c r="D174" s="88">
        <v>21</v>
      </c>
    </row>
    <row r="175" spans="2:4" x14ac:dyDescent="0.45">
      <c r="B175" t="s">
        <v>312</v>
      </c>
      <c r="C175" t="s">
        <v>288</v>
      </c>
      <c r="D175" s="88">
        <v>14</v>
      </c>
    </row>
    <row r="176" spans="2:4" x14ac:dyDescent="0.45">
      <c r="B176" t="s">
        <v>311</v>
      </c>
      <c r="C176" t="s">
        <v>287</v>
      </c>
      <c r="D176" s="88">
        <v>21</v>
      </c>
    </row>
    <row r="177" spans="2:4" x14ac:dyDescent="0.45">
      <c r="B177" t="s">
        <v>310</v>
      </c>
      <c r="C177" t="s">
        <v>287</v>
      </c>
      <c r="D177" s="88">
        <v>21</v>
      </c>
    </row>
    <row r="178" spans="2:4" x14ac:dyDescent="0.45">
      <c r="B178" t="s">
        <v>309</v>
      </c>
      <c r="C178" t="s">
        <v>288</v>
      </c>
      <c r="D178" s="88">
        <v>14</v>
      </c>
    </row>
    <row r="179" spans="2:4" x14ac:dyDescent="0.45">
      <c r="B179" t="s">
        <v>308</v>
      </c>
      <c r="C179" t="s">
        <v>288</v>
      </c>
      <c r="D179" s="88">
        <v>14</v>
      </c>
    </row>
    <row r="180" spans="2:4" x14ac:dyDescent="0.45">
      <c r="B180" t="s">
        <v>307</v>
      </c>
      <c r="C180" t="s">
        <v>288</v>
      </c>
      <c r="D180" s="88">
        <v>14</v>
      </c>
    </row>
    <row r="181" spans="2:4" x14ac:dyDescent="0.45">
      <c r="B181" t="s">
        <v>306</v>
      </c>
      <c r="C181" t="s">
        <v>300</v>
      </c>
      <c r="D181" s="88">
        <v>7</v>
      </c>
    </row>
    <row r="182" spans="2:4" x14ac:dyDescent="0.45">
      <c r="B182" t="s">
        <v>305</v>
      </c>
      <c r="C182" t="s">
        <v>288</v>
      </c>
      <c r="D182" s="88">
        <v>14</v>
      </c>
    </row>
    <row r="183" spans="2:4" x14ac:dyDescent="0.45">
      <c r="B183" t="s">
        <v>304</v>
      </c>
      <c r="C183" t="s">
        <v>287</v>
      </c>
      <c r="D183" s="88">
        <v>21</v>
      </c>
    </row>
    <row r="184" spans="2:4" x14ac:dyDescent="0.45">
      <c r="B184" t="s">
        <v>285</v>
      </c>
      <c r="C184" t="s">
        <v>287</v>
      </c>
      <c r="D184" s="88">
        <v>21</v>
      </c>
    </row>
    <row r="185" spans="2:4" x14ac:dyDescent="0.45">
      <c r="B185" t="s">
        <v>282</v>
      </c>
      <c r="C185" t="s">
        <v>288</v>
      </c>
      <c r="D185" s="88">
        <v>14</v>
      </c>
    </row>
    <row r="186" spans="2:4" x14ac:dyDescent="0.45">
      <c r="B186" t="s">
        <v>283</v>
      </c>
      <c r="C186" t="s">
        <v>288</v>
      </c>
      <c r="D186" s="88">
        <v>14</v>
      </c>
    </row>
    <row r="187" spans="2:4" x14ac:dyDescent="0.45">
      <c r="B187" t="s">
        <v>284</v>
      </c>
      <c r="C187" t="s">
        <v>300</v>
      </c>
      <c r="D187" s="88">
        <v>7</v>
      </c>
    </row>
    <row r="188" spans="2:4" x14ac:dyDescent="0.45">
      <c r="B188" t="s">
        <v>281</v>
      </c>
      <c r="C188" t="s">
        <v>300</v>
      </c>
      <c r="D188" s="88">
        <v>7</v>
      </c>
    </row>
    <row r="189" spans="2:4" x14ac:dyDescent="0.45">
      <c r="B189" t="s">
        <v>280</v>
      </c>
      <c r="C189" t="s">
        <v>288</v>
      </c>
      <c r="D189" s="88">
        <v>14</v>
      </c>
    </row>
    <row r="190" spans="2:4" x14ac:dyDescent="0.45">
      <c r="B190" t="s">
        <v>279</v>
      </c>
      <c r="C190" t="s">
        <v>288</v>
      </c>
      <c r="D190" s="88">
        <v>14</v>
      </c>
    </row>
    <row r="191" spans="2:4" x14ac:dyDescent="0.45">
      <c r="B191" t="s">
        <v>278</v>
      </c>
      <c r="C191" t="s">
        <v>287</v>
      </c>
      <c r="D191" s="88">
        <v>21</v>
      </c>
    </row>
    <row r="192" spans="2:4" x14ac:dyDescent="0.45">
      <c r="B192" t="s">
        <v>277</v>
      </c>
      <c r="C192" t="s">
        <v>288</v>
      </c>
      <c r="D192" s="88">
        <v>14</v>
      </c>
    </row>
    <row r="193" spans="2:4" x14ac:dyDescent="0.45">
      <c r="B193" t="s">
        <v>276</v>
      </c>
      <c r="C193" t="s">
        <v>288</v>
      </c>
      <c r="D193" s="88">
        <v>14</v>
      </c>
    </row>
    <row r="194" spans="2:4" x14ac:dyDescent="0.45">
      <c r="B194" t="s">
        <v>275</v>
      </c>
      <c r="C194" t="s">
        <v>287</v>
      </c>
      <c r="D194" s="88">
        <v>21</v>
      </c>
    </row>
    <row r="195" spans="2:4" x14ac:dyDescent="0.45">
      <c r="B195" t="s">
        <v>274</v>
      </c>
      <c r="C195" t="s">
        <v>287</v>
      </c>
      <c r="D195" s="88">
        <v>21</v>
      </c>
    </row>
    <row r="196" spans="2:4" x14ac:dyDescent="0.45">
      <c r="B196" t="s">
        <v>273</v>
      </c>
      <c r="C196" t="s">
        <v>288</v>
      </c>
      <c r="D196" s="88">
        <v>14</v>
      </c>
    </row>
    <row r="197" spans="2:4" x14ac:dyDescent="0.45">
      <c r="B197" t="s">
        <v>272</v>
      </c>
      <c r="C197" t="s">
        <v>288</v>
      </c>
      <c r="D197" s="88">
        <v>14</v>
      </c>
    </row>
  </sheetData>
  <pageMargins left="0.7" right="0.7" top="0.75" bottom="0.75" header="0.3" footer="0.3"/>
  <pageSetup paperSize="9"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887DA-D252-4DCC-880C-89A2C80F0A25}">
  <sheetPr>
    <tabColor rgb="FF00B0F0"/>
  </sheetPr>
  <dimension ref="B2:D26"/>
  <sheetViews>
    <sheetView showGridLines="0" showRowColHeaders="0" zoomScaleNormal="100" workbookViewId="0"/>
  </sheetViews>
  <sheetFormatPr defaultColWidth="8.796875" defaultRowHeight="14.25" x14ac:dyDescent="0.45"/>
  <cols>
    <col min="1" max="1" width="2.59765625" customWidth="1"/>
    <col min="2" max="2" width="29.33203125" customWidth="1"/>
    <col min="3" max="3" width="4" bestFit="1" customWidth="1"/>
    <col min="4" max="4" width="69.19921875" customWidth="1"/>
  </cols>
  <sheetData>
    <row r="2" spans="2:4" ht="23.25" x14ac:dyDescent="0.45">
      <c r="B2" s="153" t="s">
        <v>803</v>
      </c>
      <c r="C2" s="153"/>
      <c r="D2" s="153"/>
    </row>
    <row r="3" spans="2:4" x14ac:dyDescent="0.45">
      <c r="B3" s="154" t="s">
        <v>525</v>
      </c>
      <c r="C3" s="154"/>
      <c r="D3" s="154"/>
    </row>
    <row r="5" spans="2:4" ht="14.55" customHeight="1" x14ac:dyDescent="0.45">
      <c r="B5" s="155" t="s">
        <v>244</v>
      </c>
      <c r="C5" s="102" t="s">
        <v>216</v>
      </c>
      <c r="D5" s="105" t="s">
        <v>594</v>
      </c>
    </row>
    <row r="6" spans="2:4" ht="14.55" customHeight="1" x14ac:dyDescent="0.45">
      <c r="B6" s="155"/>
      <c r="C6" s="102" t="s">
        <v>217</v>
      </c>
      <c r="D6" s="105" t="s">
        <v>602</v>
      </c>
    </row>
    <row r="7" spans="2:4" ht="14.55" customHeight="1" x14ac:dyDescent="0.45">
      <c r="B7" s="155"/>
      <c r="C7" s="102" t="s">
        <v>218</v>
      </c>
      <c r="D7" s="105" t="s">
        <v>608</v>
      </c>
    </row>
    <row r="8" spans="2:4" ht="14.55" customHeight="1" x14ac:dyDescent="0.45">
      <c r="B8" s="155"/>
      <c r="C8" s="102" t="s">
        <v>219</v>
      </c>
      <c r="D8" s="105" t="s">
        <v>615</v>
      </c>
    </row>
    <row r="9" spans="2:4" ht="14.55" customHeight="1" x14ac:dyDescent="0.45">
      <c r="B9" s="156" t="s">
        <v>626</v>
      </c>
      <c r="C9" s="102" t="s">
        <v>220</v>
      </c>
      <c r="D9" s="105" t="s">
        <v>629</v>
      </c>
    </row>
    <row r="10" spans="2:4" ht="14.55" customHeight="1" x14ac:dyDescent="0.45">
      <c r="B10" s="156"/>
      <c r="C10" s="102" t="s">
        <v>221</v>
      </c>
      <c r="D10" s="105" t="s">
        <v>637</v>
      </c>
    </row>
    <row r="11" spans="2:4" ht="14.55" customHeight="1" x14ac:dyDescent="0.45">
      <c r="B11" s="156"/>
      <c r="C11" s="102" t="s">
        <v>222</v>
      </c>
      <c r="D11" s="105" t="s">
        <v>644</v>
      </c>
    </row>
    <row r="12" spans="2:4" ht="14.55" customHeight="1" x14ac:dyDescent="0.45">
      <c r="B12" s="156"/>
      <c r="C12" s="102" t="s">
        <v>223</v>
      </c>
      <c r="D12" s="105" t="s">
        <v>650</v>
      </c>
    </row>
    <row r="13" spans="2:4" ht="14.55" customHeight="1" x14ac:dyDescent="0.45">
      <c r="B13" s="157" t="s">
        <v>627</v>
      </c>
      <c r="C13" s="102" t="s">
        <v>224</v>
      </c>
      <c r="D13" s="105" t="s">
        <v>665</v>
      </c>
    </row>
    <row r="14" spans="2:4" ht="14.55" customHeight="1" x14ac:dyDescent="0.45">
      <c r="B14" s="157"/>
      <c r="C14" s="102" t="s">
        <v>225</v>
      </c>
      <c r="D14" s="105" t="s">
        <v>674</v>
      </c>
    </row>
    <row r="15" spans="2:4" ht="14.55" customHeight="1" x14ac:dyDescent="0.45">
      <c r="B15" s="157"/>
      <c r="C15" s="102" t="s">
        <v>226</v>
      </c>
      <c r="D15" s="105" t="s">
        <v>684</v>
      </c>
    </row>
    <row r="16" spans="2:4" ht="14.55" customHeight="1" x14ac:dyDescent="0.45">
      <c r="B16" s="157"/>
      <c r="C16" s="102" t="s">
        <v>227</v>
      </c>
      <c r="D16" s="106" t="s">
        <v>690</v>
      </c>
    </row>
    <row r="17" spans="2:4" ht="14.55" customHeight="1" x14ac:dyDescent="0.45">
      <c r="B17" s="157"/>
      <c r="C17" s="102" t="s">
        <v>228</v>
      </c>
      <c r="D17" s="105" t="s">
        <v>695</v>
      </c>
    </row>
    <row r="18" spans="2:4" ht="14.55" customHeight="1" x14ac:dyDescent="0.45">
      <c r="B18" s="157"/>
      <c r="C18" s="102" t="s">
        <v>229</v>
      </c>
      <c r="D18" s="105" t="s">
        <v>702</v>
      </c>
    </row>
    <row r="19" spans="2:4" ht="14.55" customHeight="1" x14ac:dyDescent="0.45">
      <c r="B19" s="157"/>
      <c r="C19" s="102" t="s">
        <v>230</v>
      </c>
      <c r="D19" s="105" t="s">
        <v>707</v>
      </c>
    </row>
    <row r="20" spans="2:4" ht="14.55" customHeight="1" x14ac:dyDescent="0.45">
      <c r="B20" s="158" t="s">
        <v>524</v>
      </c>
      <c r="C20" s="102" t="s">
        <v>231</v>
      </c>
      <c r="D20" s="105" t="s">
        <v>527</v>
      </c>
    </row>
    <row r="21" spans="2:4" ht="14.55" customHeight="1" x14ac:dyDescent="0.45">
      <c r="B21" s="158"/>
      <c r="C21" s="102" t="s">
        <v>232</v>
      </c>
      <c r="D21" s="105" t="s">
        <v>538</v>
      </c>
    </row>
    <row r="22" spans="2:4" ht="14.55" customHeight="1" x14ac:dyDescent="0.45">
      <c r="B22" s="158"/>
      <c r="C22" s="102" t="s">
        <v>233</v>
      </c>
      <c r="D22" s="105" t="s">
        <v>540</v>
      </c>
    </row>
    <row r="23" spans="2:4" ht="14.55" customHeight="1" x14ac:dyDescent="0.45">
      <c r="B23" s="152" t="s">
        <v>260</v>
      </c>
      <c r="C23" s="102" t="s">
        <v>234</v>
      </c>
      <c r="D23" s="105" t="s">
        <v>472</v>
      </c>
    </row>
    <row r="24" spans="2:4" ht="14.55" customHeight="1" x14ac:dyDescent="0.45">
      <c r="B24" s="152"/>
      <c r="C24" s="102" t="s">
        <v>235</v>
      </c>
      <c r="D24" s="105" t="s">
        <v>502</v>
      </c>
    </row>
    <row r="25" spans="2:4" ht="14.55" customHeight="1" x14ac:dyDescent="0.45">
      <c r="B25" s="152"/>
      <c r="C25" s="102" t="s">
        <v>236</v>
      </c>
      <c r="D25" s="105" t="s">
        <v>510</v>
      </c>
    </row>
    <row r="26" spans="2:4" ht="14.55" customHeight="1" x14ac:dyDescent="0.45">
      <c r="B26" s="152"/>
      <c r="C26" s="102" t="s">
        <v>237</v>
      </c>
      <c r="D26" s="105" t="s">
        <v>516</v>
      </c>
    </row>
  </sheetData>
  <sheetProtection algorithmName="SHA-512" hashValue="58qz1RrApWNHAR/wRNhxaIEXJpseJO+4lJLn0z8kTTdh4wm4PMQjSPv+h2cIY65MaREV7qoLM9FYCwnHLlxIcA==" saltValue="xisAiTcC7XgubldMWul07w==" spinCount="100000" sheet="1" objects="1" scenarios="1"/>
  <mergeCells count="7">
    <mergeCell ref="B23:B26"/>
    <mergeCell ref="B2:D2"/>
    <mergeCell ref="B3:D3"/>
    <mergeCell ref="B5:B8"/>
    <mergeCell ref="B9:B12"/>
    <mergeCell ref="B13:B19"/>
    <mergeCell ref="B20:B22"/>
  </mergeCells>
  <hyperlinks>
    <hyperlink ref="D5" location="BenchmarkAE1" display="PROVIDE ESSENTIAL SERVICES" xr:uid="{DA6D8B13-CFDD-4C00-8DBE-6C9C6A28D47F}"/>
    <hyperlink ref="D6" location="BenchmarkAE2" display="ADVANCE AFFORDABILITY &amp; UNIVERSAL ACCESS" xr:uid="{0F309E01-C16E-4A0D-B183-09EB7C1ED1AF}"/>
    <hyperlink ref="D7" location="BenchmarkAE3" display="IMPROVE EQUITY &amp; SOCIAL JUSTICE" xr:uid="{9091E187-7F32-41B5-A975-1EE555A939F2}"/>
    <hyperlink ref="D8" location="BenchmarkAE4" display="PLAN FOR LONG-TERM ACCESS &amp; EQUITY" xr:uid="{E75F67AC-E188-4FF3-A73E-F1F9083AEB1B}"/>
    <hyperlink ref="D9" location="BenchmarkEE1" display="AVOID CORRUPTION &amp; ENCOURAGE TRANSPARENT PROCUREMENT" xr:uid="{57AB2A5C-D395-454F-BCAD-F0B9F82B9D2E}"/>
    <hyperlink ref="D10" location="BenchmarkEE2" display="MAXIMISE ECONOMIC VIABILITY &amp; FISCAL SUSTAINABILITY" xr:uid="{52623E8C-4753-4D80-BEBA-5844808C686C}"/>
    <hyperlink ref="D11" location="BenchmarkEE3" display="MAXIMISE LONG-TERM FINANCIAL VIABILITY" xr:uid="{70E20215-F37B-4438-92A9-F2BECF040160}"/>
    <hyperlink ref="D12" location="BenchmarkEE4" display="ENHANCE EMPLOYMENT &amp; ECONOMIC OPPORTUNITIES" xr:uid="{0076CC82-E0F6-4D0D-B644-CD4365F42DAA}"/>
    <hyperlink ref="D13" location="BenchmarkES1" display="REDUCE GHG EMISSIONS &amp; IMPROVE ENERGY EFFICIENCY" xr:uid="{CAB94499-60E5-4837-8039-EA8FF5F937A7}"/>
    <hyperlink ref="D14" location="BenchmarkES2" display="REDUCE WASTE &amp; RESTORE DEGRADED LAND" xr:uid="{9DDA893D-A73A-461C-862A-257F5A21CA77}"/>
    <hyperlink ref="D15" location="BenchmarkES3" display="REDUCE WATER CONSUMPTION &amp; WASTEWATER DISCHARGE" xr:uid="{E89F95D7-DA85-4694-858F-416069EE3BB7}"/>
    <hyperlink ref="D16" location="BenchmarkES4" display="PROTECT BIODIVERSITY" xr:uid="{DD10F2BB-D6D1-46EE-A268-8B2E393DDB2D}"/>
    <hyperlink ref="D17" location="BenchmarkES5" display="ASSESS RISK &amp; RESILIENCE FOR DISASTER MANAGEMENT" xr:uid="{B3B8B269-3BE4-4BED-9085-6D2936DADED5}"/>
    <hyperlink ref="D18" location="BenchmarkES6" display="ALLOCATE FUNDS FOR RESILIENCE &amp; DISASTER MANAGEMENT" xr:uid="{D0C8DB70-E4B2-44E7-9176-8A429C8C1E66}"/>
    <hyperlink ref="D19" location="BenchmarkES7" display="ADVANCE COMMUNITY-DRIVEN DEVELOPMENT" xr:uid="{9899D2D8-943E-4CA1-B013-AE815AAD5C73}"/>
    <hyperlink ref="D20" location="BenchmarkRE1" display="ENCOURAGE REPLICABILITY &amp; SCALABILITY" xr:uid="{83CE1D73-9B8A-42B2-980C-01A3AAD8BB02}"/>
    <hyperlink ref="D21" location="BenchmarkRE2" display="ENHANCE GOVERNMENT, INDUSTRY &amp; COMMUNITY CAPACITY" xr:uid="{B8A8BDF2-F471-40CD-ABA3-E35C205408C8}"/>
    <hyperlink ref="D22" location="BenchmarkRE3" display="SUPPORT INNOVATION &amp; TECHNOLOGY TRANSFER" xr:uid="{CA27545C-1ED1-4D98-9037-5CAE3E462AD7}"/>
    <hyperlink ref="D23" location="BenchmarkSE1" display="PLAN FOR STAKEHOLDER ENGAGEMENT &amp; PUBLIC PARTICIPATION" xr:uid="{AF081D90-219D-47BE-AD8E-55D30201BDC6}"/>
    <hyperlink ref="D24" location="BenchmarkSE2" display="MAXIMISE STAKEHOLDER ENGAGEMENT &amp; PUBLIC PARTICIPATION" xr:uid="{AA347086-5A19-4112-B76E-F7F2C6CF415B}"/>
    <hyperlink ref="D25" location="BenchmarkSE3" display="PROVIDE TRANSPARENT &amp; QUALITY PROJECT INFORMATION" xr:uid="{9BEF8DED-53CF-479C-8404-A68C53C25707}"/>
    <hyperlink ref="D26" location="BenchmarkSE4" display="MANAGE PUBLIC GRIEVANCES &amp; END USER FEEDBACK" xr:uid="{4474DED2-8893-4BFC-ABD0-8BDB2CCB10D5}"/>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E4C0E-A994-41BC-B201-B8D431DB45E2}">
  <sheetPr>
    <tabColor rgb="FFFFD966"/>
    <pageSetUpPr fitToPage="1"/>
  </sheetPr>
  <dimension ref="B1:S52"/>
  <sheetViews>
    <sheetView showGridLines="0" showRowColHeaders="0" zoomScaleNormal="100" workbookViewId="0"/>
  </sheetViews>
  <sheetFormatPr defaultColWidth="8.796875" defaultRowHeight="27" customHeight="1" x14ac:dyDescent="0.45"/>
  <cols>
    <col min="1" max="1" width="2.46484375" style="16" customWidth="1"/>
    <col min="2" max="2" width="1" style="16" customWidth="1"/>
    <col min="3" max="3" width="24.46484375" style="16" customWidth="1"/>
    <col min="4" max="4" width="41.46484375" style="16" customWidth="1"/>
    <col min="5" max="6" width="20.796875" style="16" customWidth="1"/>
    <col min="7" max="7" width="26" style="16" customWidth="1"/>
    <col min="8" max="8" width="19.46484375" style="16" customWidth="1"/>
    <col min="9" max="9" width="1" style="16" customWidth="1"/>
    <col min="10" max="10" width="2.33203125" style="16" customWidth="1"/>
    <col min="11" max="11" width="13.59765625" style="16" hidden="1" customWidth="1"/>
    <col min="12" max="12" width="2.59765625" style="16" hidden="1" customWidth="1"/>
    <col min="13" max="13" width="50.59765625" style="16" hidden="1" customWidth="1"/>
    <col min="14" max="14" width="55.59765625" style="16" hidden="1" customWidth="1"/>
    <col min="15" max="15" width="55.796875" style="16" hidden="1" customWidth="1"/>
    <col min="16" max="16" width="52.796875" style="16" hidden="1" customWidth="1"/>
    <col min="17" max="17" width="33.46484375" style="16" hidden="1" customWidth="1"/>
    <col min="18" max="18" width="37.46484375" style="16" hidden="1" customWidth="1"/>
    <col min="19" max="16384" width="8.796875" style="16"/>
  </cols>
  <sheetData>
    <row r="1" spans="2:19" ht="13.5" customHeight="1" x14ac:dyDescent="0.45">
      <c r="C1" s="174"/>
      <c r="D1" s="174"/>
      <c r="E1" s="174"/>
      <c r="F1" s="174"/>
      <c r="G1" s="174"/>
      <c r="H1" s="174"/>
    </row>
    <row r="2" spans="2:19" ht="40.049999999999997" customHeight="1" thickBot="1" x14ac:dyDescent="0.5">
      <c r="B2" s="109"/>
      <c r="C2" s="175" t="s">
        <v>244</v>
      </c>
      <c r="D2" s="175"/>
      <c r="E2" s="175"/>
      <c r="F2" s="175"/>
      <c r="G2" s="175"/>
      <c r="H2" s="175"/>
      <c r="I2" s="17"/>
    </row>
    <row r="3" spans="2:19" ht="27" customHeight="1" x14ac:dyDescent="0.45">
      <c r="B3" s="109"/>
      <c r="C3" s="18" t="s">
        <v>258</v>
      </c>
      <c r="D3" s="167" t="s">
        <v>593</v>
      </c>
      <c r="E3" s="167"/>
      <c r="F3" s="167"/>
      <c r="G3" s="167"/>
      <c r="H3" s="168"/>
      <c r="I3" s="17"/>
    </row>
    <row r="4" spans="2:19" ht="40.049999999999997" customHeight="1" x14ac:dyDescent="0.45">
      <c r="B4" s="109"/>
      <c r="C4" s="19" t="s">
        <v>465</v>
      </c>
      <c r="D4" s="169" t="s">
        <v>600</v>
      </c>
      <c r="E4" s="169"/>
      <c r="F4" s="169"/>
      <c r="G4" s="170"/>
      <c r="H4" s="171"/>
      <c r="I4" s="17"/>
      <c r="S4" s="77"/>
    </row>
    <row r="5" spans="2:19" ht="112.05" customHeight="1" x14ac:dyDescent="0.45">
      <c r="B5" s="109"/>
      <c r="C5" s="19" t="s">
        <v>466</v>
      </c>
      <c r="D5" s="162" t="s">
        <v>620</v>
      </c>
      <c r="E5" s="162"/>
      <c r="F5" s="162"/>
      <c r="G5" s="163"/>
      <c r="H5" s="164"/>
      <c r="I5" s="17"/>
      <c r="M5" s="159" t="s">
        <v>20</v>
      </c>
      <c r="N5" s="159"/>
      <c r="O5" s="159"/>
      <c r="P5" s="159"/>
      <c r="Q5" s="159"/>
      <c r="R5" s="159"/>
    </row>
    <row r="6" spans="2:19" ht="27" customHeight="1" x14ac:dyDescent="0.45">
      <c r="B6" s="109"/>
      <c r="C6" s="172" t="s">
        <v>267</v>
      </c>
      <c r="D6" s="173"/>
      <c r="E6" s="173"/>
      <c r="F6" s="173"/>
      <c r="G6" s="173"/>
      <c r="H6" s="20" t="s">
        <v>259</v>
      </c>
      <c r="I6" s="17"/>
      <c r="K6" s="21" t="s">
        <v>31</v>
      </c>
      <c r="M6" s="160" t="s">
        <v>118</v>
      </c>
      <c r="N6" s="160"/>
      <c r="O6" s="160" t="s">
        <v>119</v>
      </c>
      <c r="P6" s="160"/>
      <c r="Q6" s="160" t="s">
        <v>120</v>
      </c>
      <c r="R6" s="160"/>
    </row>
    <row r="7" spans="2:19" ht="33" customHeight="1" x14ac:dyDescent="0.45">
      <c r="B7" s="109"/>
      <c r="C7" s="22" t="s">
        <v>153</v>
      </c>
      <c r="D7" s="165" t="s">
        <v>595</v>
      </c>
      <c r="E7" s="165"/>
      <c r="F7" s="165"/>
      <c r="G7" s="165"/>
      <c r="H7" s="78" t="s">
        <v>243</v>
      </c>
      <c r="I7" s="17"/>
      <c r="K7" s="23">
        <f>VLOOKUP(H7,AnswersGen[#All],2,FALSE)</f>
        <v>0</v>
      </c>
      <c r="M7" s="24">
        <v>1</v>
      </c>
      <c r="N7" s="25" t="b">
        <f>$K7=M7</f>
        <v>0</v>
      </c>
      <c r="O7" s="24">
        <v>1</v>
      </c>
      <c r="P7" s="25" t="b">
        <f>$K7=O7</f>
        <v>0</v>
      </c>
      <c r="Q7" s="24">
        <v>1</v>
      </c>
      <c r="R7" s="25" t="b">
        <f>$K7=Q7</f>
        <v>0</v>
      </c>
      <c r="S7" s="77"/>
    </row>
    <row r="8" spans="2:19" ht="34.049999999999997" customHeight="1" collapsed="1" x14ac:dyDescent="0.45">
      <c r="B8" s="109"/>
      <c r="C8" s="26" t="s">
        <v>154</v>
      </c>
      <c r="D8" s="166" t="s">
        <v>596</v>
      </c>
      <c r="E8" s="166"/>
      <c r="F8" s="166"/>
      <c r="G8" s="166"/>
      <c r="H8" s="80" t="s">
        <v>243</v>
      </c>
      <c r="I8" s="17"/>
      <c r="K8" s="23">
        <f>VLOOKUP(H8,AnswersGen[#All],2,FALSE)</f>
        <v>0</v>
      </c>
      <c r="M8" s="24">
        <v>1</v>
      </c>
      <c r="N8" s="25" t="b">
        <f>$K8=M8</f>
        <v>0</v>
      </c>
      <c r="O8" s="24">
        <v>1</v>
      </c>
      <c r="P8" s="25" t="b">
        <f>$K8=O8</f>
        <v>0</v>
      </c>
      <c r="Q8" s="24">
        <v>1</v>
      </c>
      <c r="R8" s="25" t="b">
        <f>$K8=Q8</f>
        <v>0</v>
      </c>
    </row>
    <row r="9" spans="2:19" ht="20" customHeight="1" collapsed="1" x14ac:dyDescent="0.45">
      <c r="B9" s="109"/>
      <c r="C9" s="22" t="s">
        <v>6</v>
      </c>
      <c r="D9" s="165" t="s">
        <v>597</v>
      </c>
      <c r="E9" s="165"/>
      <c r="F9" s="165"/>
      <c r="G9" s="165"/>
      <c r="H9" s="78" t="s">
        <v>243</v>
      </c>
      <c r="I9" s="17"/>
      <c r="K9" s="23">
        <f>VLOOKUP(H9,AnswersGen[#All],2,FALSE)</f>
        <v>0</v>
      </c>
      <c r="M9" s="24">
        <v>1</v>
      </c>
      <c r="N9" s="25" t="b">
        <f>$K9=M9</f>
        <v>0</v>
      </c>
      <c r="O9" s="24">
        <v>1</v>
      </c>
      <c r="P9" s="25" t="b">
        <f>$K9=O9</f>
        <v>0</v>
      </c>
      <c r="Q9" s="24">
        <v>1</v>
      </c>
      <c r="R9" s="25" t="b">
        <f>$K9=Q9</f>
        <v>0</v>
      </c>
    </row>
    <row r="10" spans="2:19" ht="20" customHeight="1" collapsed="1" x14ac:dyDescent="0.45">
      <c r="B10" s="109"/>
      <c r="C10" s="26" t="s">
        <v>7</v>
      </c>
      <c r="D10" s="166" t="s">
        <v>598</v>
      </c>
      <c r="E10" s="166"/>
      <c r="F10" s="166"/>
      <c r="G10" s="166"/>
      <c r="H10" s="80" t="s">
        <v>243</v>
      </c>
      <c r="I10" s="17"/>
      <c r="K10" s="23">
        <f>VLOOKUP(H10,AnswersNA[#All],2,FALSE)</f>
        <v>0</v>
      </c>
      <c r="M10" s="24">
        <v>1</v>
      </c>
      <c r="N10" s="25" t="b">
        <f>$K10=M10</f>
        <v>0</v>
      </c>
      <c r="O10" s="24">
        <v>1</v>
      </c>
      <c r="P10" s="25" t="b">
        <f>$K10=O10</f>
        <v>0</v>
      </c>
      <c r="Q10" s="24">
        <v>1</v>
      </c>
      <c r="R10" s="25" t="b">
        <f>$K10=Q10</f>
        <v>0</v>
      </c>
    </row>
    <row r="11" spans="2:19" ht="40.049999999999997" customHeight="1" collapsed="1" x14ac:dyDescent="0.45">
      <c r="B11" s="109"/>
      <c r="C11" s="22" t="s">
        <v>8</v>
      </c>
      <c r="D11" s="165" t="s">
        <v>599</v>
      </c>
      <c r="E11" s="165"/>
      <c r="F11" s="165"/>
      <c r="G11" s="165"/>
      <c r="H11" s="85" t="s">
        <v>243</v>
      </c>
      <c r="I11" s="17"/>
      <c r="K11" s="23">
        <f>VLOOKUP(H11,AnswersGen[#All],2,FALSE)</f>
        <v>0</v>
      </c>
      <c r="M11" s="24">
        <v>1</v>
      </c>
      <c r="N11" s="25" t="b">
        <f>$K11=M11</f>
        <v>0</v>
      </c>
      <c r="O11" s="24">
        <v>1</v>
      </c>
      <c r="P11" s="25" t="b">
        <f>$K11=O11</f>
        <v>0</v>
      </c>
      <c r="Q11" s="24">
        <v>1</v>
      </c>
      <c r="R11" s="25" t="b">
        <f>$K11=Q11</f>
        <v>0</v>
      </c>
    </row>
    <row r="12" spans="2:19" ht="27" customHeight="1" thickBot="1" x14ac:dyDescent="0.5">
      <c r="B12" s="109"/>
      <c r="C12" s="83" t="s">
        <v>500</v>
      </c>
      <c r="D12" s="32"/>
      <c r="E12" s="32"/>
      <c r="F12" s="32"/>
      <c r="G12" s="33" t="s">
        <v>496</v>
      </c>
      <c r="H12" s="84" t="str">
        <f>IF(OR(H7="",H8="",H9="",H10="",H11=""),"Answer all questions",IF(R12,VLOOKUP(3,PerfLevels[#All],2,FALSE),IF(P12,VLOOKUP(2,PerfLevels[#All],2,FALSE),IF(N12,VLOOKUP(1,PerfLevels[#All],2,FALSE),VLOOKUP(0,PerfLevels[#All],2,FALSE)))))</f>
        <v>Практика отсутствует</v>
      </c>
      <c r="I12" s="17"/>
      <c r="M12" s="27" t="s">
        <v>24</v>
      </c>
      <c r="N12" s="28" t="b">
        <f>AND(N7:N8)</f>
        <v>0</v>
      </c>
      <c r="O12" s="27" t="s">
        <v>24</v>
      </c>
      <c r="P12" s="28" t="b">
        <f>AND(P7:P10)</f>
        <v>0</v>
      </c>
      <c r="Q12" s="27" t="s">
        <v>24</v>
      </c>
      <c r="R12" s="28" t="b">
        <f>AND(R7:R11)</f>
        <v>0</v>
      </c>
    </row>
    <row r="13" spans="2:19" ht="10.050000000000001" customHeight="1" x14ac:dyDescent="0.45">
      <c r="B13" s="109"/>
      <c r="C13" s="17"/>
      <c r="D13" s="35"/>
      <c r="E13" s="35"/>
      <c r="F13" s="35"/>
      <c r="G13" s="35"/>
      <c r="H13" s="36"/>
      <c r="I13" s="17"/>
      <c r="M13" s="27" t="s">
        <v>26</v>
      </c>
      <c r="N13" s="29">
        <f>VLOOKUP(1,PerfLevels[#All],3,FALSE)</f>
        <v>7</v>
      </c>
      <c r="O13" s="27" t="s">
        <v>26</v>
      </c>
      <c r="P13" s="29">
        <f>VLOOKUP(2,PerfLevels[#All],3,FALSE)</f>
        <v>14</v>
      </c>
      <c r="Q13" s="27" t="s">
        <v>26</v>
      </c>
      <c r="R13" s="29">
        <f>VLOOKUP(3,PerfLevels[#All],3,FALSE)</f>
        <v>21</v>
      </c>
    </row>
    <row r="14" spans="2:19" ht="10.050000000000001" customHeight="1" thickBot="1" x14ac:dyDescent="0.5">
      <c r="B14" s="109"/>
      <c r="C14" s="17"/>
      <c r="D14" s="35"/>
      <c r="E14" s="35"/>
      <c r="F14" s="35"/>
      <c r="G14" s="35"/>
      <c r="H14" s="36"/>
      <c r="I14" s="17"/>
      <c r="M14" s="27" t="s">
        <v>240</v>
      </c>
      <c r="N14" s="29">
        <f>COUNTIF(N9:N11,TRUE)</f>
        <v>0</v>
      </c>
      <c r="O14" s="27" t="s">
        <v>240</v>
      </c>
      <c r="P14" s="29">
        <f>COUNTIF(P11,TRUE)</f>
        <v>0</v>
      </c>
      <c r="Q14" s="122"/>
      <c r="R14" s="123"/>
      <c r="S14" s="38"/>
    </row>
    <row r="15" spans="2:19" ht="27" customHeight="1" thickBot="1" x14ac:dyDescent="0.5">
      <c r="B15" s="109"/>
      <c r="C15" s="18" t="s">
        <v>258</v>
      </c>
      <c r="D15" s="167" t="s">
        <v>601</v>
      </c>
      <c r="E15" s="167"/>
      <c r="F15" s="167"/>
      <c r="G15" s="167"/>
      <c r="H15" s="168"/>
      <c r="I15" s="17"/>
      <c r="M15" s="34" t="s">
        <v>25</v>
      </c>
      <c r="N15" s="133">
        <f>IF(R12,R13,IF(P12,P13+P14,IF(N12,N13+N14,0)))</f>
        <v>0</v>
      </c>
    </row>
    <row r="16" spans="2:19" ht="27" customHeight="1" x14ac:dyDescent="0.45">
      <c r="B16" s="109"/>
      <c r="C16" s="19" t="s">
        <v>465</v>
      </c>
      <c r="D16" s="169" t="s">
        <v>619</v>
      </c>
      <c r="E16" s="169"/>
      <c r="F16" s="169"/>
      <c r="G16" s="170"/>
      <c r="H16" s="171"/>
      <c r="I16" s="17"/>
    </row>
    <row r="17" spans="2:18" ht="117" customHeight="1" x14ac:dyDescent="0.45">
      <c r="B17" s="109"/>
      <c r="C17" s="19" t="s">
        <v>466</v>
      </c>
      <c r="D17" s="162" t="s">
        <v>621</v>
      </c>
      <c r="E17" s="162"/>
      <c r="F17" s="162"/>
      <c r="G17" s="163"/>
      <c r="H17" s="164"/>
      <c r="I17" s="17"/>
      <c r="M17" s="159" t="s">
        <v>20</v>
      </c>
      <c r="N17" s="159"/>
      <c r="O17" s="159"/>
      <c r="P17" s="159"/>
      <c r="Q17" s="159"/>
      <c r="R17" s="159"/>
    </row>
    <row r="18" spans="2:18" ht="27" customHeight="1" x14ac:dyDescent="0.45">
      <c r="B18" s="109"/>
      <c r="C18" s="172" t="s">
        <v>267</v>
      </c>
      <c r="D18" s="173"/>
      <c r="E18" s="173"/>
      <c r="F18" s="173"/>
      <c r="G18" s="173"/>
      <c r="H18" s="20" t="s">
        <v>259</v>
      </c>
      <c r="I18" s="17"/>
      <c r="K18" s="21" t="s">
        <v>31</v>
      </c>
      <c r="M18" s="160" t="s">
        <v>118</v>
      </c>
      <c r="N18" s="160"/>
      <c r="O18" s="160" t="s">
        <v>119</v>
      </c>
      <c r="P18" s="160"/>
      <c r="Q18" s="160" t="s">
        <v>120</v>
      </c>
      <c r="R18" s="160"/>
    </row>
    <row r="19" spans="2:18" ht="51.5" customHeight="1" x14ac:dyDescent="0.45">
      <c r="B19" s="109"/>
      <c r="C19" s="22" t="s">
        <v>155</v>
      </c>
      <c r="D19" s="165" t="s">
        <v>603</v>
      </c>
      <c r="E19" s="165"/>
      <c r="F19" s="165"/>
      <c r="G19" s="165"/>
      <c r="H19" s="85" t="s">
        <v>243</v>
      </c>
      <c r="I19" s="17"/>
      <c r="K19" s="23">
        <f>VLOOKUP(H19,AnswersNA[#All],2,FALSE)</f>
        <v>0</v>
      </c>
      <c r="M19" s="24">
        <v>1</v>
      </c>
      <c r="N19" s="25" t="b">
        <f>$K19=M19</f>
        <v>0</v>
      </c>
      <c r="O19" s="24">
        <v>1</v>
      </c>
      <c r="P19" s="25" t="b">
        <f>$K19=O19</f>
        <v>0</v>
      </c>
      <c r="Q19" s="24">
        <v>1</v>
      </c>
      <c r="R19" s="25" t="b">
        <f>$K19=Q19</f>
        <v>0</v>
      </c>
    </row>
    <row r="20" spans="2:18" ht="51.5" customHeight="1" x14ac:dyDescent="0.45">
      <c r="B20" s="109"/>
      <c r="C20" s="26" t="s">
        <v>156</v>
      </c>
      <c r="D20" s="166" t="s">
        <v>604</v>
      </c>
      <c r="E20" s="166"/>
      <c r="F20" s="166"/>
      <c r="G20" s="166"/>
      <c r="H20" s="86" t="s">
        <v>243</v>
      </c>
      <c r="I20" s="17"/>
      <c r="K20" s="23">
        <f>VLOOKUP(H20,AnswersNA[#All],2,FALSE)</f>
        <v>0</v>
      </c>
      <c r="M20" s="24">
        <v>1</v>
      </c>
      <c r="N20" s="25" t="b">
        <f>$K20=M20</f>
        <v>0</v>
      </c>
      <c r="O20" s="24">
        <v>1</v>
      </c>
      <c r="P20" s="25" t="b">
        <f>$K20=O20</f>
        <v>0</v>
      </c>
      <c r="Q20" s="24">
        <v>1</v>
      </c>
      <c r="R20" s="25" t="b">
        <f>$K20=Q20</f>
        <v>0</v>
      </c>
    </row>
    <row r="21" spans="2:18" ht="23.55" customHeight="1" x14ac:dyDescent="0.45">
      <c r="B21" s="109"/>
      <c r="C21" s="22" t="s">
        <v>9</v>
      </c>
      <c r="D21" s="165" t="s">
        <v>605</v>
      </c>
      <c r="E21" s="165"/>
      <c r="F21" s="165"/>
      <c r="G21" s="165"/>
      <c r="H21" s="85" t="s">
        <v>243</v>
      </c>
      <c r="I21" s="17"/>
      <c r="K21" s="23">
        <f>VLOOKUP(H21,AnswersNA[#All],2,FALSE)</f>
        <v>0</v>
      </c>
      <c r="M21" s="24">
        <v>1</v>
      </c>
      <c r="N21" s="25" t="b">
        <f>$K21=M21</f>
        <v>0</v>
      </c>
      <c r="O21" s="24">
        <v>1</v>
      </c>
      <c r="P21" s="25" t="b">
        <f>$K21=O21</f>
        <v>0</v>
      </c>
      <c r="Q21" s="24">
        <v>1</v>
      </c>
      <c r="R21" s="25" t="b">
        <f>$K21=Q21</f>
        <v>0</v>
      </c>
    </row>
    <row r="22" spans="2:18" ht="40.049999999999997" customHeight="1" x14ac:dyDescent="0.45">
      <c r="B22" s="109"/>
      <c r="C22" s="26" t="s">
        <v>10</v>
      </c>
      <c r="D22" s="166" t="s">
        <v>606</v>
      </c>
      <c r="E22" s="166"/>
      <c r="F22" s="166"/>
      <c r="G22" s="166"/>
      <c r="H22" s="86" t="s">
        <v>243</v>
      </c>
      <c r="I22" s="17"/>
      <c r="K22" s="23">
        <f>VLOOKUP(H22,AnswersNA[#All],2,FALSE)</f>
        <v>0</v>
      </c>
      <c r="M22" s="24">
        <v>1</v>
      </c>
      <c r="N22" s="25" t="b">
        <f>$K22=M22</f>
        <v>0</v>
      </c>
      <c r="O22" s="24">
        <v>1</v>
      </c>
      <c r="P22" s="25" t="b">
        <f>$K22=O22</f>
        <v>0</v>
      </c>
      <c r="Q22" s="24">
        <v>1</v>
      </c>
      <c r="R22" s="25" t="b">
        <f>$K22=Q22</f>
        <v>0</v>
      </c>
    </row>
    <row r="23" spans="2:18" ht="27" customHeight="1" thickBot="1" x14ac:dyDescent="0.5">
      <c r="B23" s="109"/>
      <c r="C23" s="83" t="s">
        <v>500</v>
      </c>
      <c r="D23" s="32"/>
      <c r="E23" s="32"/>
      <c r="F23" s="32"/>
      <c r="G23" s="33" t="s">
        <v>497</v>
      </c>
      <c r="H23" s="84" t="str">
        <f>IF(OR(H19="",H20="",H21="",H22=""),"Answer all questions",IF(R23,VLOOKUP(3,PerfLevels[#All],2,FALSE),IF(P23,VLOOKUP(2,PerfLevels[#All],2,FALSE),IF(N23,VLOOKUP(1,PerfLevels[#All],2,FALSE),VLOOKUP(0,PerfLevels[#All],2,FALSE)))))</f>
        <v>Практика отсутствует</v>
      </c>
      <c r="I23" s="17"/>
      <c r="M23" s="27" t="s">
        <v>24</v>
      </c>
      <c r="N23" s="28" t="b">
        <f>AND(N19:N20)</f>
        <v>0</v>
      </c>
      <c r="O23" s="27" t="s">
        <v>24</v>
      </c>
      <c r="P23" s="28" t="b">
        <f>AND(P19:P21)</f>
        <v>0</v>
      </c>
      <c r="Q23" s="27" t="s">
        <v>24</v>
      </c>
      <c r="R23" s="28" t="b">
        <f>AND(R19:R22)</f>
        <v>0</v>
      </c>
    </row>
    <row r="24" spans="2:18" ht="15" customHeight="1" x14ac:dyDescent="0.45">
      <c r="B24" s="109"/>
      <c r="C24" s="17"/>
      <c r="D24" s="35"/>
      <c r="E24" s="35"/>
      <c r="F24" s="35"/>
      <c r="G24" s="35"/>
      <c r="H24" s="36"/>
      <c r="I24" s="17"/>
      <c r="M24" s="27" t="s">
        <v>26</v>
      </c>
      <c r="N24" s="29">
        <f>VLOOKUP(1,PerfLevels[#All],3,FALSE)</f>
        <v>7</v>
      </c>
      <c r="O24" s="27" t="s">
        <v>26</v>
      </c>
      <c r="P24" s="29">
        <f>VLOOKUP(2,PerfLevels[#All],3,FALSE)</f>
        <v>14</v>
      </c>
      <c r="Q24" s="27" t="s">
        <v>26</v>
      </c>
      <c r="R24" s="29">
        <f>VLOOKUP(3,PerfLevels[#All],3,FALSE)</f>
        <v>21</v>
      </c>
    </row>
    <row r="25" spans="2:18" ht="23" customHeight="1" thickBot="1" x14ac:dyDescent="0.5">
      <c r="B25" s="109"/>
      <c r="C25" s="17"/>
      <c r="D25" s="35"/>
      <c r="E25" s="35"/>
      <c r="F25" s="35"/>
      <c r="G25" s="35"/>
      <c r="H25" s="36"/>
      <c r="I25" s="17"/>
      <c r="M25" s="27" t="s">
        <v>240</v>
      </c>
      <c r="N25" s="29">
        <f>COUNTIF(N21:N22,TRUE)</f>
        <v>0</v>
      </c>
      <c r="O25" s="27" t="s">
        <v>240</v>
      </c>
      <c r="P25" s="29">
        <f>COUNTIF(P22,TRUE)</f>
        <v>0</v>
      </c>
    </row>
    <row r="26" spans="2:18" ht="27" customHeight="1" thickBot="1" x14ac:dyDescent="0.5">
      <c r="B26" s="109"/>
      <c r="C26" s="18" t="s">
        <v>258</v>
      </c>
      <c r="D26" s="167" t="s">
        <v>607</v>
      </c>
      <c r="E26" s="167"/>
      <c r="F26" s="167"/>
      <c r="G26" s="167"/>
      <c r="H26" s="168"/>
      <c r="I26" s="17"/>
      <c r="M26" s="34" t="s">
        <v>27</v>
      </c>
      <c r="N26" s="133">
        <f>IF(R23,R24,IF(P23,P24+P25,IF(N23,N24+N25,0)))</f>
        <v>0</v>
      </c>
    </row>
    <row r="27" spans="2:18" ht="27" customHeight="1" x14ac:dyDescent="0.45">
      <c r="B27" s="109"/>
      <c r="C27" s="19" t="s">
        <v>465</v>
      </c>
      <c r="D27" s="169" t="s">
        <v>622</v>
      </c>
      <c r="E27" s="169"/>
      <c r="F27" s="169"/>
      <c r="G27" s="170"/>
      <c r="H27" s="171"/>
      <c r="I27" s="17"/>
      <c r="M27" s="161"/>
      <c r="N27" s="161"/>
      <c r="O27" s="161"/>
      <c r="P27" s="161"/>
      <c r="Q27" s="161"/>
      <c r="R27" s="161"/>
    </row>
    <row r="28" spans="2:18" ht="60" customHeight="1" x14ac:dyDescent="0.45">
      <c r="B28" s="109"/>
      <c r="C28" s="19" t="s">
        <v>466</v>
      </c>
      <c r="D28" s="162" t="s">
        <v>623</v>
      </c>
      <c r="E28" s="162"/>
      <c r="F28" s="162"/>
      <c r="G28" s="163"/>
      <c r="H28" s="164"/>
      <c r="I28" s="17"/>
      <c r="M28" s="159" t="s">
        <v>20</v>
      </c>
      <c r="N28" s="159"/>
      <c r="O28" s="159"/>
      <c r="P28" s="159"/>
      <c r="Q28" s="159"/>
      <c r="R28" s="159"/>
    </row>
    <row r="29" spans="2:18" ht="27" customHeight="1" x14ac:dyDescent="0.45">
      <c r="B29" s="109"/>
      <c r="C29" s="172" t="s">
        <v>267</v>
      </c>
      <c r="D29" s="173"/>
      <c r="E29" s="173"/>
      <c r="F29" s="173"/>
      <c r="G29" s="173"/>
      <c r="H29" s="20" t="s">
        <v>259</v>
      </c>
      <c r="I29" s="17"/>
      <c r="K29" s="21" t="s">
        <v>31</v>
      </c>
      <c r="M29" s="160" t="s">
        <v>118</v>
      </c>
      <c r="N29" s="160"/>
      <c r="O29" s="160" t="s">
        <v>119</v>
      </c>
      <c r="P29" s="160"/>
      <c r="Q29" s="160" t="s">
        <v>120</v>
      </c>
      <c r="R29" s="160"/>
    </row>
    <row r="30" spans="2:18" ht="38" customHeight="1" x14ac:dyDescent="0.45">
      <c r="B30" s="109"/>
      <c r="C30" s="22" t="s">
        <v>157</v>
      </c>
      <c r="D30" s="165" t="s">
        <v>609</v>
      </c>
      <c r="E30" s="165"/>
      <c r="F30" s="165"/>
      <c r="G30" s="165"/>
      <c r="H30" s="85" t="s">
        <v>243</v>
      </c>
      <c r="I30" s="17"/>
      <c r="K30" s="23">
        <f>VLOOKUP(H30,AnswersGen[#All],2,FALSE)</f>
        <v>0</v>
      </c>
      <c r="M30" s="24">
        <v>1</v>
      </c>
      <c r="N30" s="25" t="b">
        <f t="shared" ref="N30:N35" si="0">$K30=M30</f>
        <v>0</v>
      </c>
      <c r="O30" s="24">
        <v>1</v>
      </c>
      <c r="P30" s="25" t="b">
        <f t="shared" ref="P30:P35" si="1">$K30=O30</f>
        <v>0</v>
      </c>
      <c r="Q30" s="24">
        <v>1</v>
      </c>
      <c r="R30" s="25" t="b">
        <f t="shared" ref="R30:R35" si="2">$K30=Q30</f>
        <v>0</v>
      </c>
    </row>
    <row r="31" spans="2:18" ht="30" customHeight="1" collapsed="1" x14ac:dyDescent="0.45">
      <c r="B31" s="109"/>
      <c r="C31" s="26" t="s">
        <v>186</v>
      </c>
      <c r="D31" s="166" t="s">
        <v>610</v>
      </c>
      <c r="E31" s="166"/>
      <c r="F31" s="166"/>
      <c r="G31" s="166"/>
      <c r="H31" s="86" t="s">
        <v>243</v>
      </c>
      <c r="I31" s="17"/>
      <c r="K31" s="23">
        <f>VLOOKUP(H31,AnswersGen[#All],2,FALSE)</f>
        <v>0</v>
      </c>
      <c r="M31" s="24">
        <v>1</v>
      </c>
      <c r="N31" s="25" t="b">
        <f t="shared" si="0"/>
        <v>0</v>
      </c>
      <c r="O31" s="24">
        <v>1</v>
      </c>
      <c r="P31" s="25" t="b">
        <f t="shared" si="1"/>
        <v>0</v>
      </c>
      <c r="Q31" s="24">
        <v>1</v>
      </c>
      <c r="R31" s="25" t="b">
        <f t="shared" si="2"/>
        <v>0</v>
      </c>
    </row>
    <row r="32" spans="2:18" ht="30" customHeight="1" collapsed="1" x14ac:dyDescent="0.45">
      <c r="B32" s="109"/>
      <c r="C32" s="22" t="s">
        <v>13</v>
      </c>
      <c r="D32" s="165" t="s">
        <v>611</v>
      </c>
      <c r="E32" s="165"/>
      <c r="F32" s="165"/>
      <c r="G32" s="165"/>
      <c r="H32" s="85" t="s">
        <v>243</v>
      </c>
      <c r="I32" s="17"/>
      <c r="K32" s="23">
        <f>VLOOKUP(H32,AnswersGen[#All],2,FALSE)</f>
        <v>0</v>
      </c>
      <c r="M32" s="24">
        <v>1</v>
      </c>
      <c r="N32" s="25" t="b">
        <f t="shared" si="0"/>
        <v>0</v>
      </c>
      <c r="O32" s="24">
        <v>1</v>
      </c>
      <c r="P32" s="25" t="b">
        <f t="shared" si="1"/>
        <v>0</v>
      </c>
      <c r="Q32" s="24">
        <v>1</v>
      </c>
      <c r="R32" s="25" t="b">
        <f t="shared" si="2"/>
        <v>0</v>
      </c>
    </row>
    <row r="33" spans="2:18" ht="30" customHeight="1" x14ac:dyDescent="0.45">
      <c r="B33" s="109"/>
      <c r="C33" s="26" t="s">
        <v>12</v>
      </c>
      <c r="D33" s="166" t="s">
        <v>804</v>
      </c>
      <c r="E33" s="166"/>
      <c r="F33" s="166"/>
      <c r="G33" s="166"/>
      <c r="H33" s="86" t="s">
        <v>243</v>
      </c>
      <c r="I33" s="17"/>
      <c r="K33" s="23">
        <f>VLOOKUP(H33,AnswersGen[#All],2,FALSE)</f>
        <v>0</v>
      </c>
      <c r="M33" s="24">
        <v>1</v>
      </c>
      <c r="N33" s="25" t="b">
        <f t="shared" si="0"/>
        <v>0</v>
      </c>
      <c r="O33" s="24">
        <v>1</v>
      </c>
      <c r="P33" s="25" t="b">
        <f t="shared" si="1"/>
        <v>0</v>
      </c>
      <c r="Q33" s="24">
        <v>1</v>
      </c>
      <c r="R33" s="25" t="b">
        <f t="shared" si="2"/>
        <v>0</v>
      </c>
    </row>
    <row r="34" spans="2:18" ht="30" customHeight="1" x14ac:dyDescent="0.45">
      <c r="B34" s="109"/>
      <c r="C34" s="22" t="s">
        <v>11</v>
      </c>
      <c r="D34" s="165" t="s">
        <v>612</v>
      </c>
      <c r="E34" s="165"/>
      <c r="F34" s="165"/>
      <c r="G34" s="165"/>
      <c r="H34" s="85" t="s">
        <v>243</v>
      </c>
      <c r="I34" s="17"/>
      <c r="K34" s="23">
        <f>VLOOKUP(H34,AnswersNA[#All],2,FALSE)</f>
        <v>0</v>
      </c>
      <c r="M34" s="24">
        <v>1</v>
      </c>
      <c r="N34" s="25" t="b">
        <f t="shared" si="0"/>
        <v>0</v>
      </c>
      <c r="O34" s="24">
        <v>1</v>
      </c>
      <c r="P34" s="25" t="b">
        <f t="shared" si="1"/>
        <v>0</v>
      </c>
      <c r="Q34" s="24">
        <v>1</v>
      </c>
      <c r="R34" s="25" t="b">
        <f t="shared" si="2"/>
        <v>0</v>
      </c>
    </row>
    <row r="35" spans="2:18" ht="38" customHeight="1" collapsed="1" x14ac:dyDescent="0.45">
      <c r="B35" s="109"/>
      <c r="C35" s="26" t="s">
        <v>17</v>
      </c>
      <c r="D35" s="166" t="s">
        <v>613</v>
      </c>
      <c r="E35" s="166"/>
      <c r="F35" s="166"/>
      <c r="G35" s="166"/>
      <c r="H35" s="86" t="s">
        <v>253</v>
      </c>
      <c r="I35" s="17"/>
      <c r="K35" s="23">
        <f>VLOOKUP(H35,AnswersGen[#All],2,FALSE)</f>
        <v>1</v>
      </c>
      <c r="M35" s="24">
        <v>1</v>
      </c>
      <c r="N35" s="25" t="b">
        <f t="shared" si="0"/>
        <v>1</v>
      </c>
      <c r="O35" s="24">
        <v>1</v>
      </c>
      <c r="P35" s="25" t="b">
        <f t="shared" si="1"/>
        <v>1</v>
      </c>
      <c r="Q35" s="24">
        <v>1</v>
      </c>
      <c r="R35" s="25" t="b">
        <f t="shared" si="2"/>
        <v>1</v>
      </c>
    </row>
    <row r="36" spans="2:18" ht="23.65" collapsed="1" thickBot="1" x14ac:dyDescent="0.5">
      <c r="B36" s="109"/>
      <c r="C36" s="83" t="s">
        <v>500</v>
      </c>
      <c r="D36" s="32"/>
      <c r="E36" s="32"/>
      <c r="F36" s="32"/>
      <c r="G36" s="33" t="s">
        <v>498</v>
      </c>
      <c r="H36" s="84" t="str">
        <f>IF(OR(H30="",H31="",H32="",H33="",H34="",H35=""),"Answer all questions",IF(R36,VLOOKUP(3,PerfLevels[#All],2,FALSE),IF(P36,VLOOKUP(2,PerfLevels[#All],2,FALSE),IF(N36,VLOOKUP(1,PerfLevels[#All],2,FALSE),VLOOKUP(0,PerfLevels[#All],2,FALSE)))))</f>
        <v>Практика отсутствует</v>
      </c>
      <c r="I36" s="17"/>
      <c r="M36" s="27" t="s">
        <v>24</v>
      </c>
      <c r="N36" s="28" t="b">
        <f>AND(N30:N31)</f>
        <v>0</v>
      </c>
      <c r="O36" s="27" t="s">
        <v>24</v>
      </c>
      <c r="P36" s="28" t="b">
        <f>AND(P30:P32)</f>
        <v>0</v>
      </c>
      <c r="Q36" s="27" t="s">
        <v>24</v>
      </c>
      <c r="R36" s="28" t="b">
        <f>AND(R30:R35)</f>
        <v>0</v>
      </c>
    </row>
    <row r="37" spans="2:18" ht="14.55" customHeight="1" x14ac:dyDescent="0.45">
      <c r="B37" s="109"/>
      <c r="C37" s="17"/>
      <c r="D37" s="35"/>
      <c r="E37" s="35"/>
      <c r="F37" s="35"/>
      <c r="G37" s="35"/>
      <c r="H37" s="36"/>
      <c r="I37" s="17"/>
      <c r="M37" s="27" t="s">
        <v>26</v>
      </c>
      <c r="N37" s="29">
        <f>VLOOKUP(1,PerfLevels[#All],3,FALSE)</f>
        <v>7</v>
      </c>
      <c r="O37" s="27" t="s">
        <v>26</v>
      </c>
      <c r="P37" s="29">
        <f>VLOOKUP(2,PerfLevels[#All],3,FALSE)</f>
        <v>14</v>
      </c>
      <c r="Q37" s="27" t="s">
        <v>26</v>
      </c>
      <c r="R37" s="29">
        <f>VLOOKUP(3,PerfLevels[#All],3,FALSE)</f>
        <v>21</v>
      </c>
    </row>
    <row r="38" spans="2:18" ht="21" customHeight="1" thickBot="1" x14ac:dyDescent="0.5">
      <c r="B38" s="109"/>
      <c r="C38" s="17"/>
      <c r="D38" s="35"/>
      <c r="E38" s="35"/>
      <c r="F38" s="35"/>
      <c r="G38" s="35"/>
      <c r="H38" s="36"/>
      <c r="I38" s="17"/>
      <c r="M38" s="27" t="s">
        <v>240</v>
      </c>
      <c r="N38" s="29">
        <f>COUNTIF(N32:N35,TRUE)</f>
        <v>1</v>
      </c>
      <c r="O38" s="27" t="s">
        <v>240</v>
      </c>
      <c r="P38" s="29">
        <f>COUNTIF(P33:P35,TRUE)</f>
        <v>1</v>
      </c>
    </row>
    <row r="39" spans="2:18" ht="27" customHeight="1" thickBot="1" x14ac:dyDescent="0.5">
      <c r="B39" s="109"/>
      <c r="C39" s="18" t="s">
        <v>258</v>
      </c>
      <c r="D39" s="167" t="s">
        <v>614</v>
      </c>
      <c r="E39" s="167"/>
      <c r="F39" s="167"/>
      <c r="G39" s="167"/>
      <c r="H39" s="168"/>
      <c r="I39" s="17"/>
      <c r="M39" s="34" t="s">
        <v>28</v>
      </c>
      <c r="N39" s="133">
        <f>IF(R36,R37,IF(P36,P37+P38,IF(N36,N37+N38,0)))</f>
        <v>0</v>
      </c>
    </row>
    <row r="40" spans="2:18" ht="20" customHeight="1" x14ac:dyDescent="0.45">
      <c r="B40" s="109"/>
      <c r="C40" s="19" t="s">
        <v>465</v>
      </c>
      <c r="D40" s="170" t="s">
        <v>624</v>
      </c>
      <c r="E40" s="170"/>
      <c r="F40" s="170"/>
      <c r="G40" s="170"/>
      <c r="H40" s="171"/>
      <c r="I40" s="17"/>
    </row>
    <row r="41" spans="2:18" ht="60" customHeight="1" x14ac:dyDescent="0.45">
      <c r="B41" s="109"/>
      <c r="C41" s="19" t="s">
        <v>466</v>
      </c>
      <c r="D41" s="162" t="s">
        <v>625</v>
      </c>
      <c r="E41" s="162"/>
      <c r="F41" s="162"/>
      <c r="G41" s="163"/>
      <c r="H41" s="164"/>
      <c r="I41" s="17"/>
      <c r="M41" s="159" t="s">
        <v>20</v>
      </c>
      <c r="N41" s="159"/>
      <c r="O41" s="159"/>
      <c r="P41" s="159"/>
      <c r="Q41" s="159"/>
      <c r="R41" s="159"/>
    </row>
    <row r="42" spans="2:18" ht="27" customHeight="1" x14ac:dyDescent="0.45">
      <c r="B42" s="109"/>
      <c r="C42" s="172" t="s">
        <v>267</v>
      </c>
      <c r="D42" s="173"/>
      <c r="E42" s="173"/>
      <c r="F42" s="173"/>
      <c r="G42" s="173"/>
      <c r="H42" s="20" t="s">
        <v>259</v>
      </c>
      <c r="I42" s="17"/>
      <c r="K42" s="21" t="s">
        <v>31</v>
      </c>
      <c r="M42" s="160" t="s">
        <v>118</v>
      </c>
      <c r="N42" s="160"/>
      <c r="O42" s="160" t="s">
        <v>119</v>
      </c>
      <c r="P42" s="160"/>
      <c r="Q42" s="160" t="s">
        <v>120</v>
      </c>
      <c r="R42" s="160"/>
    </row>
    <row r="43" spans="2:18" ht="53.55" customHeight="1" x14ac:dyDescent="0.45">
      <c r="B43" s="109"/>
      <c r="C43" s="22" t="s">
        <v>159</v>
      </c>
      <c r="D43" s="165" t="s">
        <v>616</v>
      </c>
      <c r="E43" s="165"/>
      <c r="F43" s="165"/>
      <c r="G43" s="165"/>
      <c r="H43" s="79" t="s">
        <v>243</v>
      </c>
      <c r="I43" s="17"/>
      <c r="K43" s="23">
        <f>VLOOKUP(H43,AnswersAE41[#All],2,FALSE)</f>
        <v>0</v>
      </c>
      <c r="M43" s="24">
        <v>1</v>
      </c>
      <c r="N43" s="25" t="b">
        <f>$K43&gt;=M43</f>
        <v>0</v>
      </c>
      <c r="O43" s="24">
        <v>2</v>
      </c>
      <c r="P43" s="25" t="b">
        <f>$K43&gt;=O43</f>
        <v>0</v>
      </c>
      <c r="Q43" s="24">
        <v>2</v>
      </c>
      <c r="R43" s="25" t="b">
        <f>$K43&gt;=Q43</f>
        <v>0</v>
      </c>
    </row>
    <row r="44" spans="2:18" ht="57.5" customHeight="1" collapsed="1" x14ac:dyDescent="0.45">
      <c r="B44" s="109"/>
      <c r="C44" s="26" t="s">
        <v>158</v>
      </c>
      <c r="D44" s="166" t="s">
        <v>617</v>
      </c>
      <c r="E44" s="166"/>
      <c r="F44" s="166"/>
      <c r="G44" s="166"/>
      <c r="H44" s="86" t="s">
        <v>243</v>
      </c>
      <c r="I44" s="17"/>
      <c r="K44" s="23">
        <f>VLOOKUP(H44,AnswersGen[#All],2,FALSE)</f>
        <v>0</v>
      </c>
      <c r="M44" s="24">
        <v>1</v>
      </c>
      <c r="N44" s="25" t="b">
        <f>$K44=M44</f>
        <v>0</v>
      </c>
      <c r="O44" s="24">
        <v>1</v>
      </c>
      <c r="P44" s="25" t="b">
        <f>$K44=O44</f>
        <v>0</v>
      </c>
      <c r="Q44" s="24">
        <v>1</v>
      </c>
      <c r="R44" s="25" t="b">
        <f>$K44=Q44</f>
        <v>0</v>
      </c>
    </row>
    <row r="45" spans="2:18" ht="40.5" customHeight="1" collapsed="1" x14ac:dyDescent="0.45">
      <c r="B45" s="109"/>
      <c r="C45" s="22" t="s">
        <v>16</v>
      </c>
      <c r="D45" s="165" t="s">
        <v>618</v>
      </c>
      <c r="E45" s="165"/>
      <c r="F45" s="165"/>
      <c r="G45" s="165"/>
      <c r="H45" s="85" t="s">
        <v>243</v>
      </c>
      <c r="I45" s="17"/>
      <c r="K45" s="23">
        <f>VLOOKUP(H45,AnswersGen[#All],2,FALSE)</f>
        <v>0</v>
      </c>
      <c r="M45" s="24">
        <v>1</v>
      </c>
      <c r="N45" s="25" t="b">
        <f>$K45=M45</f>
        <v>0</v>
      </c>
      <c r="O45" s="24">
        <v>1</v>
      </c>
      <c r="P45" s="25" t="b">
        <f>$K45=O45</f>
        <v>0</v>
      </c>
      <c r="Q45" s="24">
        <v>1</v>
      </c>
      <c r="R45" s="25" t="b">
        <f>$K45=Q45</f>
        <v>0</v>
      </c>
    </row>
    <row r="46" spans="2:18" ht="27" customHeight="1" thickBot="1" x14ac:dyDescent="0.5">
      <c r="B46" s="109"/>
      <c r="C46" s="83" t="s">
        <v>500</v>
      </c>
      <c r="D46" s="32"/>
      <c r="E46" s="32"/>
      <c r="F46" s="32"/>
      <c r="G46" s="33" t="s">
        <v>499</v>
      </c>
      <c r="H46" s="84" t="str">
        <f>IF(OR(H43="",H44="",H45=""),"Answer all questions",IF(R46,VLOOKUP(3,PerfLevels[#All],2,FALSE),IF(P46,VLOOKUP(2,PerfLevels[#All],2,FALSE),IF(N46,VLOOKUP(1,PerfLevels[#All],2,FALSE),VLOOKUP(0,PerfLevels[#All],2,FALSE)))))</f>
        <v>Практика отсутствует</v>
      </c>
      <c r="I46" s="17"/>
      <c r="M46" s="27" t="s">
        <v>24</v>
      </c>
      <c r="N46" s="28" t="b">
        <f>AND(N43:N44)</f>
        <v>0</v>
      </c>
      <c r="O46" s="27" t="s">
        <v>24</v>
      </c>
      <c r="P46" s="28" t="b">
        <f>AND(P43:P44)</f>
        <v>0</v>
      </c>
      <c r="Q46" s="27" t="s">
        <v>24</v>
      </c>
      <c r="R46" s="28" t="b">
        <f>AND(R43:R45)</f>
        <v>0</v>
      </c>
    </row>
    <row r="47" spans="2:18" ht="18" customHeight="1" x14ac:dyDescent="0.45">
      <c r="B47" s="109"/>
      <c r="C47" s="17"/>
      <c r="D47" s="17"/>
      <c r="E47" s="17"/>
      <c r="F47" s="17"/>
      <c r="G47" s="43"/>
      <c r="H47" s="43"/>
      <c r="I47" s="17"/>
      <c r="M47" s="27" t="s">
        <v>26</v>
      </c>
      <c r="N47" s="29">
        <f>VLOOKUP(1,PerfLevels[#All],3,FALSE)</f>
        <v>7</v>
      </c>
      <c r="O47" s="27" t="s">
        <v>26</v>
      </c>
      <c r="P47" s="29">
        <f>VLOOKUP(2,PerfLevels[#All],3,FALSE)</f>
        <v>14</v>
      </c>
      <c r="Q47" s="27" t="s">
        <v>26</v>
      </c>
      <c r="R47" s="29">
        <f>VLOOKUP(3,PerfLevels[#All],3,FALSE)</f>
        <v>21</v>
      </c>
    </row>
    <row r="48" spans="2:18" ht="15.5" customHeight="1" thickBot="1" x14ac:dyDescent="0.5">
      <c r="B48" s="109"/>
      <c r="C48" s="17"/>
      <c r="D48" s="17"/>
      <c r="E48" s="17"/>
      <c r="F48" s="17"/>
      <c r="G48" s="43"/>
      <c r="H48" s="43"/>
      <c r="I48" s="17"/>
      <c r="M48" s="27" t="s">
        <v>240</v>
      </c>
      <c r="N48" s="29">
        <f>COUNTIF(N45,TRUE)</f>
        <v>0</v>
      </c>
      <c r="O48" s="27" t="s">
        <v>240</v>
      </c>
      <c r="P48" s="29">
        <f>COUNTIF(P45,TRUE)</f>
        <v>0</v>
      </c>
    </row>
    <row r="49" spans="13:18" ht="27" customHeight="1" thickBot="1" x14ac:dyDescent="0.5">
      <c r="M49" s="34" t="s">
        <v>29</v>
      </c>
      <c r="N49" s="133">
        <f>IF(R46,R47,IF(P46,P47+P48,IF(N46,N47+N48,0)))</f>
        <v>0</v>
      </c>
    </row>
    <row r="50" spans="13:18" ht="27" customHeight="1" thickBot="1" x14ac:dyDescent="0.5">
      <c r="Q50" s="39" t="s">
        <v>32</v>
      </c>
      <c r="R50" s="40">
        <f>SUM(R13,R24,R37,R47)</f>
        <v>84</v>
      </c>
    </row>
    <row r="51" spans="13:18" ht="27" customHeight="1" x14ac:dyDescent="0.45">
      <c r="M51" s="41" t="s">
        <v>112</v>
      </c>
      <c r="N51" s="42"/>
      <c r="R51" s="38"/>
    </row>
    <row r="52" spans="13:18" ht="27" customHeight="1" thickBot="1" x14ac:dyDescent="0.5">
      <c r="M52" s="8">
        <f>SUM(N15,N26,N39,N49)</f>
        <v>0</v>
      </c>
      <c r="N52" s="9"/>
    </row>
  </sheetData>
  <sheetProtection algorithmName="SHA-512" hashValue="aoA7KtXtwMGSyfECNaLFaXz6kOKSGeQNV84zbzTCv6N/enKn9FQp4Y8nqQ9i3s9CvRlCZMcc7sUAFCfPk7tG1w==" saltValue="Yq+83jNBrz2HrQkMI890sQ==" spinCount="100000" sheet="1" objects="1" scenarios="1"/>
  <mergeCells count="53">
    <mergeCell ref="C1:H1"/>
    <mergeCell ref="C2:H2"/>
    <mergeCell ref="D4:H4"/>
    <mergeCell ref="D35:G35"/>
    <mergeCell ref="D30:G30"/>
    <mergeCell ref="D31:G31"/>
    <mergeCell ref="D32:G32"/>
    <mergeCell ref="C29:G29"/>
    <mergeCell ref="C18:G18"/>
    <mergeCell ref="D3:H3"/>
    <mergeCell ref="C6:G6"/>
    <mergeCell ref="D33:G33"/>
    <mergeCell ref="D34:G34"/>
    <mergeCell ref="D28:H28"/>
    <mergeCell ref="D19:G19"/>
    <mergeCell ref="D20:G20"/>
    <mergeCell ref="M41:R41"/>
    <mergeCell ref="C42:G42"/>
    <mergeCell ref="M42:N42"/>
    <mergeCell ref="O42:P42"/>
    <mergeCell ref="Q42:R42"/>
    <mergeCell ref="D43:G43"/>
    <mergeCell ref="D44:G44"/>
    <mergeCell ref="D45:G45"/>
    <mergeCell ref="D41:H41"/>
    <mergeCell ref="D39:H39"/>
    <mergeCell ref="D40:H40"/>
    <mergeCell ref="D21:G21"/>
    <mergeCell ref="D22:G22"/>
    <mergeCell ref="D26:H26"/>
    <mergeCell ref="D27:H27"/>
    <mergeCell ref="M5:R5"/>
    <mergeCell ref="M6:N6"/>
    <mergeCell ref="O6:P6"/>
    <mergeCell ref="Q6:R6"/>
    <mergeCell ref="D16:H16"/>
    <mergeCell ref="D11:G11"/>
    <mergeCell ref="D15:H15"/>
    <mergeCell ref="D7:G7"/>
    <mergeCell ref="D5:H5"/>
    <mergeCell ref="D8:G8"/>
    <mergeCell ref="D9:G9"/>
    <mergeCell ref="D10:G10"/>
    <mergeCell ref="D17:H17"/>
    <mergeCell ref="M17:R17"/>
    <mergeCell ref="M18:N18"/>
    <mergeCell ref="O18:P18"/>
    <mergeCell ref="Q18:R18"/>
    <mergeCell ref="M28:R28"/>
    <mergeCell ref="M29:N29"/>
    <mergeCell ref="O29:P29"/>
    <mergeCell ref="Q29:R29"/>
    <mergeCell ref="M27:R27"/>
  </mergeCells>
  <phoneticPr fontId="11" type="noConversion"/>
  <dataValidations xWindow="1086" yWindow="683" count="6">
    <dataValidation type="list" errorStyle="warning" allowBlank="1" showInputMessage="1" showErrorMessage="1" errorTitle="Invalid" error="Please choose an option from the list" promptTitle="Answer" prompt="Please select an answer from the list" sqref="H11 H7:H9" xr:uid="{081EE416-A107-4498-ACC2-251551CCBE92}">
      <formula1>INDIRECT("AnswersGen[Choices]")</formula1>
    </dataValidation>
    <dataValidation type="list" errorStyle="warning" allowBlank="1" showInputMessage="1" showErrorMessage="1" errorTitle="Invalid" error="Please choose an option from the list" promptTitle="Answer" prompt="Please select an answer from the list" sqref="H10" xr:uid="{3ADECE2C-9B02-488A-B978-65AD433A1C3B}">
      <formula1>INDIRECT("AnswersNA[Choices]")</formula1>
    </dataValidation>
    <dataValidation type="list" allowBlank="1" showInputMessage="1" showErrorMessage="1" errorTitle="Invalid" error="Please choose an option from the list" promptTitle="Answer" prompt="Please select an answer from the list" sqref="H43" xr:uid="{B1960099-F450-4166-A23E-E495DFA24EDC}">
      <formula1>INDIRECT("AnswersAE41[Choices]")</formula1>
    </dataValidation>
    <dataValidation allowBlank="1" showErrorMessage="1" sqref="D34:G34" xr:uid="{3C8BB129-30DF-ED4B-81C9-D0DAECE119F1}"/>
    <dataValidation type="list" allowBlank="1" showInputMessage="1" showErrorMessage="1" errorTitle="Invalid" error="Please choose an option from the list" promptTitle="Answer" prompt="Please select an answer from the list" sqref="H19:H22 H34" xr:uid="{CA2B535F-3915-4461-A291-A767E8362633}">
      <formula1>INDIRECT("AnswersNA[Choices]")</formula1>
    </dataValidation>
    <dataValidation type="list" allowBlank="1" showInputMessage="1" showErrorMessage="1" errorTitle="Invalid" error="Please choose an option from the list" promptTitle="Answer" prompt="Please select an answer from the list" sqref="H30:H33 H35 H44:H45" xr:uid="{DCE5B57A-3258-4349-AE73-D4A519FEE300}">
      <formula1>INDIRECT("AnswersGen[Choices]")</formula1>
    </dataValidation>
  </dataValidations>
  <printOptions horizontalCentered="1"/>
  <pageMargins left="0.7" right="0.7" top="0.75" bottom="0.75" header="0.3" footer="0.3"/>
  <pageSetup paperSize="9" scale="59" fitToHeight="0" orientation="portrait" verticalDpi="0" r:id="rId1"/>
  <headerFooter>
    <oddHeader>&amp;L&amp;G&amp;C&amp;"Calibri (Body),Bold"&amp;23&amp;K338EDDPeople-first PPP Impact Assessment Tool</oddHeader>
  </headerFooter>
  <rowBreaks count="3" manualBreakCount="3">
    <brk id="14" max="16383" man="1"/>
    <brk id="25" max="16383" man="1"/>
    <brk id="38"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B47BE-9D5D-FA46-8B62-5CF38AC26405}">
  <sheetPr>
    <tabColor theme="0" tint="-0.249977111117893"/>
    <pageSetUpPr fitToPage="1"/>
  </sheetPr>
  <dimension ref="B1:R55"/>
  <sheetViews>
    <sheetView showGridLines="0" showRowColHeaders="0" zoomScaleNormal="100" workbookViewId="0"/>
  </sheetViews>
  <sheetFormatPr defaultColWidth="8.796875" defaultRowHeight="27" customHeight="1" x14ac:dyDescent="0.45"/>
  <cols>
    <col min="1" max="1" width="2.46484375" style="16" customWidth="1"/>
    <col min="2" max="2" width="1" style="16" customWidth="1"/>
    <col min="3" max="3" width="26.46484375" style="16" customWidth="1"/>
    <col min="4" max="4" width="41.46484375" style="16" customWidth="1"/>
    <col min="5" max="6" width="20.796875" style="16" customWidth="1"/>
    <col min="7" max="7" width="26.796875" style="16" customWidth="1"/>
    <col min="8" max="8" width="28.796875" style="16" customWidth="1"/>
    <col min="9" max="9" width="1" style="16" customWidth="1"/>
    <col min="10" max="10" width="2.33203125" style="16" customWidth="1"/>
    <col min="11" max="11" width="13.59765625" style="16" hidden="1" customWidth="1"/>
    <col min="12" max="12" width="6.33203125" style="16" hidden="1" customWidth="1"/>
    <col min="13" max="13" width="8.59765625" style="16" hidden="1" customWidth="1"/>
    <col min="14" max="14" width="7.59765625" style="16" hidden="1" customWidth="1"/>
    <col min="15" max="18" width="8.59765625" style="16" hidden="1" customWidth="1"/>
    <col min="19" max="16384" width="8.796875" style="16"/>
  </cols>
  <sheetData>
    <row r="1" spans="2:18" ht="13.5" customHeight="1" x14ac:dyDescent="0.45">
      <c r="C1" s="174"/>
      <c r="D1" s="174"/>
      <c r="E1" s="174"/>
      <c r="F1" s="174"/>
      <c r="G1" s="174"/>
      <c r="H1" s="174"/>
    </row>
    <row r="2" spans="2:18" ht="40.049999999999997" customHeight="1" thickBot="1" x14ac:dyDescent="0.5">
      <c r="B2" s="110"/>
      <c r="C2" s="176" t="s">
        <v>626</v>
      </c>
      <c r="D2" s="176"/>
      <c r="E2" s="176"/>
      <c r="F2" s="176"/>
      <c r="G2" s="176"/>
      <c r="H2" s="176"/>
      <c r="I2" s="57"/>
    </row>
    <row r="3" spans="2:18" ht="27" customHeight="1" x14ac:dyDescent="0.45">
      <c r="B3" s="110"/>
      <c r="C3" s="18" t="s">
        <v>258</v>
      </c>
      <c r="D3" s="167" t="s">
        <v>628</v>
      </c>
      <c r="E3" s="167"/>
      <c r="F3" s="167"/>
      <c r="G3" s="167"/>
      <c r="H3" s="168"/>
      <c r="I3" s="57"/>
    </row>
    <row r="4" spans="2:18" ht="20" customHeight="1" x14ac:dyDescent="0.45">
      <c r="B4" s="110"/>
      <c r="C4" s="19" t="s">
        <v>465</v>
      </c>
      <c r="D4" s="169" t="s">
        <v>657</v>
      </c>
      <c r="E4" s="169"/>
      <c r="F4" s="169"/>
      <c r="G4" s="170"/>
      <c r="H4" s="171"/>
      <c r="I4" s="57"/>
    </row>
    <row r="5" spans="2:18" ht="97.05" customHeight="1" x14ac:dyDescent="0.45">
      <c r="B5" s="110"/>
      <c r="C5" s="19" t="s">
        <v>466</v>
      </c>
      <c r="D5" s="162" t="s">
        <v>658</v>
      </c>
      <c r="E5" s="162"/>
      <c r="F5" s="162"/>
      <c r="G5" s="163"/>
      <c r="H5" s="164"/>
      <c r="I5" s="57"/>
      <c r="M5" s="159" t="s">
        <v>20</v>
      </c>
      <c r="N5" s="159"/>
      <c r="O5" s="159"/>
      <c r="P5" s="159"/>
      <c r="Q5" s="159"/>
      <c r="R5" s="159"/>
    </row>
    <row r="6" spans="2:18" ht="27" customHeight="1" x14ac:dyDescent="0.45">
      <c r="B6" s="110"/>
      <c r="C6" s="172" t="s">
        <v>267</v>
      </c>
      <c r="D6" s="173"/>
      <c r="E6" s="173"/>
      <c r="F6" s="173"/>
      <c r="G6" s="173"/>
      <c r="H6" s="20" t="s">
        <v>259</v>
      </c>
      <c r="I6" s="57"/>
      <c r="K6" s="21" t="s">
        <v>31</v>
      </c>
      <c r="M6" s="160" t="s">
        <v>118</v>
      </c>
      <c r="N6" s="160"/>
      <c r="O6" s="160" t="s">
        <v>119</v>
      </c>
      <c r="P6" s="160"/>
      <c r="Q6" s="160" t="s">
        <v>120</v>
      </c>
      <c r="R6" s="160"/>
    </row>
    <row r="7" spans="2:18" ht="40.049999999999997" customHeight="1" x14ac:dyDescent="0.45">
      <c r="B7" s="110"/>
      <c r="C7" s="22" t="s">
        <v>160</v>
      </c>
      <c r="D7" s="165" t="s">
        <v>630</v>
      </c>
      <c r="E7" s="165"/>
      <c r="F7" s="165"/>
      <c r="G7" s="165"/>
      <c r="H7" s="85" t="s">
        <v>243</v>
      </c>
      <c r="I7" s="57"/>
      <c r="K7" s="23">
        <f>VLOOKUP(H7,AnswersEE11[#All],2,FALSE)</f>
        <v>0</v>
      </c>
      <c r="M7" s="24">
        <v>1</v>
      </c>
      <c r="N7" s="25" t="b">
        <f>$K7&gt;=M7</f>
        <v>0</v>
      </c>
      <c r="O7" s="24">
        <v>1</v>
      </c>
      <c r="P7" s="25" t="b">
        <f>$K7&gt;=O7</f>
        <v>0</v>
      </c>
      <c r="Q7" s="24">
        <v>2</v>
      </c>
      <c r="R7" s="25" t="b">
        <f>$K7&gt;=Q7</f>
        <v>0</v>
      </c>
    </row>
    <row r="8" spans="2:18" ht="34.049999999999997" customHeight="1" collapsed="1" x14ac:dyDescent="0.45">
      <c r="B8" s="110"/>
      <c r="C8" s="26" t="s">
        <v>33</v>
      </c>
      <c r="D8" s="166" t="s">
        <v>631</v>
      </c>
      <c r="E8" s="166"/>
      <c r="F8" s="166"/>
      <c r="G8" s="166"/>
      <c r="H8" s="80" t="s">
        <v>243</v>
      </c>
      <c r="I8" s="57"/>
      <c r="K8" s="23">
        <f>VLOOKUP(H8,AnswersGen[#All],2,FALSE)</f>
        <v>0</v>
      </c>
      <c r="M8" s="24">
        <v>1</v>
      </c>
      <c r="N8" s="25" t="b">
        <f>$K8=M8</f>
        <v>0</v>
      </c>
      <c r="O8" s="24">
        <v>1</v>
      </c>
      <c r="P8" s="25" t="b">
        <f>$K8=O8</f>
        <v>0</v>
      </c>
      <c r="Q8" s="24">
        <v>1</v>
      </c>
      <c r="R8" s="25" t="b">
        <f t="shared" ref="R8:R10" si="0">$K8=Q8</f>
        <v>0</v>
      </c>
    </row>
    <row r="9" spans="2:18" ht="60" customHeight="1" collapsed="1" x14ac:dyDescent="0.45">
      <c r="B9" s="110"/>
      <c r="C9" s="22" t="s">
        <v>34</v>
      </c>
      <c r="D9" s="165" t="s">
        <v>632</v>
      </c>
      <c r="E9" s="165"/>
      <c r="F9" s="165"/>
      <c r="G9" s="165"/>
      <c r="H9" s="85" t="s">
        <v>243</v>
      </c>
      <c r="I9" s="57"/>
      <c r="K9" s="23">
        <f>VLOOKUP(H9,AnswersGen[#All],2,FALSE)</f>
        <v>0</v>
      </c>
      <c r="L9" s="51"/>
      <c r="M9" s="24">
        <v>1</v>
      </c>
      <c r="N9" s="25" t="b">
        <f t="shared" ref="N9:N12" si="1">$K9=M9</f>
        <v>0</v>
      </c>
      <c r="O9" s="24">
        <v>1</v>
      </c>
      <c r="P9" s="25" t="b">
        <f>$K9=O9</f>
        <v>0</v>
      </c>
      <c r="Q9" s="24">
        <v>1</v>
      </c>
      <c r="R9" s="25" t="b">
        <f t="shared" si="0"/>
        <v>0</v>
      </c>
    </row>
    <row r="10" spans="2:18" ht="40.049999999999997" customHeight="1" x14ac:dyDescent="0.45">
      <c r="B10" s="110"/>
      <c r="C10" s="26" t="s">
        <v>35</v>
      </c>
      <c r="D10" s="166" t="s">
        <v>633</v>
      </c>
      <c r="E10" s="166"/>
      <c r="F10" s="166"/>
      <c r="G10" s="166"/>
      <c r="H10" s="86" t="s">
        <v>243</v>
      </c>
      <c r="I10" s="57"/>
      <c r="K10" s="23">
        <f>VLOOKUP(H10,AnswersGen[#All],2,FALSE)</f>
        <v>0</v>
      </c>
      <c r="L10" s="51"/>
      <c r="M10" s="24">
        <v>1</v>
      </c>
      <c r="N10" s="25" t="b">
        <f t="shared" si="1"/>
        <v>0</v>
      </c>
      <c r="O10" s="24">
        <v>1</v>
      </c>
      <c r="P10" s="25" t="b">
        <f>$K10=O10</f>
        <v>0</v>
      </c>
      <c r="Q10" s="24">
        <v>1</v>
      </c>
      <c r="R10" s="25" t="b">
        <f t="shared" si="0"/>
        <v>0</v>
      </c>
    </row>
    <row r="11" spans="2:18" ht="20" customHeight="1" x14ac:dyDescent="0.45">
      <c r="B11" s="110"/>
      <c r="C11" s="22" t="s">
        <v>36</v>
      </c>
      <c r="D11" s="165" t="s">
        <v>634</v>
      </c>
      <c r="E11" s="165"/>
      <c r="F11" s="165"/>
      <c r="G11" s="165"/>
      <c r="H11" s="78" t="s">
        <v>243</v>
      </c>
      <c r="I11" s="57"/>
      <c r="K11" s="23">
        <f>VLOOKUP(H11,AnswersGen[#All],2,FALSE)</f>
        <v>0</v>
      </c>
      <c r="M11" s="24">
        <v>1</v>
      </c>
      <c r="N11" s="25" t="b">
        <f t="shared" si="1"/>
        <v>0</v>
      </c>
      <c r="O11" s="24">
        <v>1</v>
      </c>
      <c r="P11" s="25" t="b">
        <f t="shared" ref="P11:P12" si="2">$K11=O11</f>
        <v>0</v>
      </c>
      <c r="Q11" s="24">
        <v>1</v>
      </c>
      <c r="R11" s="25" t="b">
        <f t="shared" ref="R11:R12" si="3">$K11=Q11</f>
        <v>0</v>
      </c>
    </row>
    <row r="12" spans="2:18" ht="40.049999999999997" customHeight="1" collapsed="1" x14ac:dyDescent="0.45">
      <c r="B12" s="110"/>
      <c r="C12" s="56" t="s">
        <v>49</v>
      </c>
      <c r="D12" s="177" t="s">
        <v>635</v>
      </c>
      <c r="E12" s="178"/>
      <c r="F12" s="178"/>
      <c r="G12" s="179"/>
      <c r="H12" s="14" t="s">
        <v>243</v>
      </c>
      <c r="I12" s="57"/>
      <c r="K12" s="23">
        <f>VLOOKUP(H12,AnswersGen[#All],2,FALSE)</f>
        <v>0</v>
      </c>
      <c r="M12" s="24">
        <v>1</v>
      </c>
      <c r="N12" s="25" t="b">
        <f t="shared" si="1"/>
        <v>0</v>
      </c>
      <c r="O12" s="24">
        <v>1</v>
      </c>
      <c r="P12" s="25" t="b">
        <f t="shared" si="2"/>
        <v>0</v>
      </c>
      <c r="Q12" s="24">
        <v>1</v>
      </c>
      <c r="R12" s="25" t="b">
        <f t="shared" si="3"/>
        <v>0</v>
      </c>
    </row>
    <row r="13" spans="2:18" ht="20" customHeight="1" thickBot="1" x14ac:dyDescent="0.5">
      <c r="B13" s="110"/>
      <c r="C13" s="83" t="s">
        <v>500</v>
      </c>
      <c r="D13" s="32"/>
      <c r="E13" s="32"/>
      <c r="F13" s="32"/>
      <c r="G13" s="33" t="s">
        <v>495</v>
      </c>
      <c r="H13" s="84" t="str">
        <f>IF(OR(H7="",H8="",H9="",H10="",H11="",H12=""),"Answer all questions",IF(R13,VLOOKUP(3,PerfLevels[#All],2,FALSE),IF(P13,VLOOKUP(2,PerfLevels[#All],2,FALSE),IF(N13,VLOOKUP(1,PerfLevels[#All],2,FALSE),VLOOKUP(0,PerfLevels[#All],2,FALSE)))))</f>
        <v>Практика отсутствует</v>
      </c>
      <c r="I13" s="57"/>
      <c r="M13" s="27" t="s">
        <v>24</v>
      </c>
      <c r="N13" s="28" t="b">
        <f>AND(N7)</f>
        <v>0</v>
      </c>
      <c r="O13" s="27" t="s">
        <v>24</v>
      </c>
      <c r="P13" s="28" t="b">
        <f>AND(P7:P10)</f>
        <v>0</v>
      </c>
      <c r="Q13" s="27" t="s">
        <v>24</v>
      </c>
      <c r="R13" s="28" t="b">
        <f>AND(R7:R12)</f>
        <v>0</v>
      </c>
    </row>
    <row r="14" spans="2:18" ht="12" customHeight="1" x14ac:dyDescent="0.45">
      <c r="B14" s="110"/>
      <c r="C14" s="57"/>
      <c r="D14" s="59"/>
      <c r="E14" s="59"/>
      <c r="F14" s="59"/>
      <c r="G14" s="59"/>
      <c r="H14" s="60"/>
      <c r="I14" s="57"/>
      <c r="M14" s="27" t="s">
        <v>26</v>
      </c>
      <c r="N14" s="29">
        <f>VLOOKUP(1,PerfLevels[#All],3,FALSE)</f>
        <v>7</v>
      </c>
      <c r="O14" s="27" t="s">
        <v>26</v>
      </c>
      <c r="P14" s="29">
        <f>VLOOKUP(2,PerfLevels[#All],3,FALSE)</f>
        <v>14</v>
      </c>
      <c r="Q14" s="27" t="s">
        <v>26</v>
      </c>
      <c r="R14" s="29">
        <f>VLOOKUP(3,PerfLevels[#All],3,FALSE)</f>
        <v>21</v>
      </c>
    </row>
    <row r="15" spans="2:18" ht="13.5" customHeight="1" thickBot="1" x14ac:dyDescent="0.5">
      <c r="B15" s="110"/>
      <c r="C15" s="57"/>
      <c r="D15" s="59"/>
      <c r="E15" s="59"/>
      <c r="F15" s="59"/>
      <c r="G15" s="59"/>
      <c r="H15" s="60"/>
      <c r="I15" s="57"/>
      <c r="M15" s="27" t="s">
        <v>240</v>
      </c>
      <c r="N15" s="29">
        <f>COUNTIF(N8:N12,TRUE)</f>
        <v>0</v>
      </c>
      <c r="O15" s="27" t="s">
        <v>240</v>
      </c>
      <c r="P15" s="29">
        <f>COUNTIF(P11:P12,TRUE)</f>
        <v>0</v>
      </c>
      <c r="Q15" s="108"/>
      <c r="R15" s="108"/>
    </row>
    <row r="16" spans="2:18" ht="30" customHeight="1" thickBot="1" x14ac:dyDescent="0.5">
      <c r="B16" s="110"/>
      <c r="C16" s="18" t="s">
        <v>258</v>
      </c>
      <c r="D16" s="167" t="s">
        <v>636</v>
      </c>
      <c r="E16" s="167"/>
      <c r="F16" s="167"/>
      <c r="G16" s="167"/>
      <c r="H16" s="168"/>
      <c r="I16" s="57"/>
      <c r="M16" s="34" t="s">
        <v>37</v>
      </c>
      <c r="N16" s="133">
        <f>IF(R13,R14,IF(P13,P14+P15,IF(N13,N14+N15,0)))</f>
        <v>0</v>
      </c>
      <c r="O16" s="37"/>
      <c r="P16" s="37"/>
      <c r="Q16" s="37"/>
      <c r="R16" s="37"/>
    </row>
    <row r="17" spans="2:18" ht="20" customHeight="1" x14ac:dyDescent="0.45">
      <c r="B17" s="110"/>
      <c r="C17" s="19" t="s">
        <v>465</v>
      </c>
      <c r="D17" s="169" t="s">
        <v>659</v>
      </c>
      <c r="E17" s="169"/>
      <c r="F17" s="169"/>
      <c r="G17" s="170"/>
      <c r="H17" s="171"/>
      <c r="I17" s="57"/>
    </row>
    <row r="18" spans="2:18" ht="60" customHeight="1" x14ac:dyDescent="0.45">
      <c r="B18" s="110"/>
      <c r="C18" s="19" t="s">
        <v>466</v>
      </c>
      <c r="D18" s="162" t="s">
        <v>660</v>
      </c>
      <c r="E18" s="162"/>
      <c r="F18" s="162"/>
      <c r="G18" s="163"/>
      <c r="H18" s="164"/>
      <c r="I18" s="57"/>
      <c r="M18" s="159" t="s">
        <v>20</v>
      </c>
      <c r="N18" s="159"/>
      <c r="O18" s="159"/>
      <c r="P18" s="159"/>
      <c r="Q18" s="159"/>
      <c r="R18" s="159"/>
    </row>
    <row r="19" spans="2:18" ht="27" customHeight="1" x14ac:dyDescent="0.45">
      <c r="B19" s="110"/>
      <c r="C19" s="172" t="s">
        <v>267</v>
      </c>
      <c r="D19" s="173"/>
      <c r="E19" s="173"/>
      <c r="F19" s="173"/>
      <c r="G19" s="173"/>
      <c r="H19" s="20" t="s">
        <v>259</v>
      </c>
      <c r="I19" s="57"/>
      <c r="K19" s="21" t="s">
        <v>31</v>
      </c>
      <c r="M19" s="160" t="s">
        <v>118</v>
      </c>
      <c r="N19" s="160"/>
      <c r="O19" s="160" t="s">
        <v>119</v>
      </c>
      <c r="P19" s="160"/>
      <c r="Q19" s="160" t="s">
        <v>120</v>
      </c>
      <c r="R19" s="160"/>
    </row>
    <row r="20" spans="2:18" ht="40.049999999999997" customHeight="1" x14ac:dyDescent="0.45">
      <c r="B20" s="110"/>
      <c r="C20" s="22" t="s">
        <v>161</v>
      </c>
      <c r="D20" s="165" t="s">
        <v>638</v>
      </c>
      <c r="E20" s="165"/>
      <c r="F20" s="165"/>
      <c r="G20" s="165"/>
      <c r="H20" s="85" t="s">
        <v>243</v>
      </c>
      <c r="I20" s="57"/>
      <c r="K20" s="23">
        <f>VLOOKUP(H20,AnswersGen[#All],2,FALSE)</f>
        <v>0</v>
      </c>
      <c r="M20" s="24">
        <v>1</v>
      </c>
      <c r="N20" s="25" t="b">
        <f>$K20=M20</f>
        <v>0</v>
      </c>
      <c r="O20" s="24">
        <v>1</v>
      </c>
      <c r="P20" s="25" t="b">
        <f>$K20=O20</f>
        <v>0</v>
      </c>
      <c r="Q20" s="24">
        <v>1</v>
      </c>
      <c r="R20" s="25" t="b">
        <f>$K20=Q20</f>
        <v>0</v>
      </c>
    </row>
    <row r="21" spans="2:18" ht="40.049999999999997" customHeight="1" collapsed="1" x14ac:dyDescent="0.45">
      <c r="B21" s="110"/>
      <c r="C21" s="26" t="s">
        <v>38</v>
      </c>
      <c r="D21" s="166" t="s">
        <v>639</v>
      </c>
      <c r="E21" s="166"/>
      <c r="F21" s="166"/>
      <c r="G21" s="166"/>
      <c r="H21" s="86" t="s">
        <v>243</v>
      </c>
      <c r="I21" s="57"/>
      <c r="K21" s="23">
        <f>VLOOKUP(H21,AnswersGen[#All],2,FALSE)</f>
        <v>0</v>
      </c>
      <c r="M21" s="24">
        <v>1</v>
      </c>
      <c r="N21" s="25" t="b">
        <f t="shared" ref="N21:N24" si="4">$K21=M21</f>
        <v>0</v>
      </c>
      <c r="O21" s="24">
        <v>1</v>
      </c>
      <c r="P21" s="25" t="b">
        <f>$K21=O21</f>
        <v>0</v>
      </c>
      <c r="Q21" s="24">
        <v>1</v>
      </c>
      <c r="R21" s="25" t="b">
        <f>$K21=Q21</f>
        <v>0</v>
      </c>
    </row>
    <row r="22" spans="2:18" ht="60" customHeight="1" collapsed="1" x14ac:dyDescent="0.45">
      <c r="B22" s="110"/>
      <c r="C22" s="22" t="s">
        <v>39</v>
      </c>
      <c r="D22" s="165" t="s">
        <v>640</v>
      </c>
      <c r="E22" s="165"/>
      <c r="F22" s="165"/>
      <c r="G22" s="165"/>
      <c r="H22" s="85" t="s">
        <v>243</v>
      </c>
      <c r="I22" s="57"/>
      <c r="K22" s="23">
        <f>VLOOKUP(H22,AnswersGen[#All],2,FALSE)</f>
        <v>0</v>
      </c>
      <c r="L22" s="51"/>
      <c r="M22" s="24">
        <v>1</v>
      </c>
      <c r="N22" s="25" t="b">
        <f t="shared" si="4"/>
        <v>0</v>
      </c>
      <c r="O22" s="24">
        <v>1</v>
      </c>
      <c r="P22" s="25" t="b">
        <f>$K22=O22</f>
        <v>0</v>
      </c>
      <c r="Q22" s="24">
        <v>1</v>
      </c>
      <c r="R22" s="25" t="b">
        <f>$K22=Q22</f>
        <v>0</v>
      </c>
    </row>
    <row r="23" spans="2:18" ht="60" customHeight="1" x14ac:dyDescent="0.45">
      <c r="B23" s="110"/>
      <c r="C23" s="26" t="s">
        <v>40</v>
      </c>
      <c r="D23" s="166" t="s">
        <v>641</v>
      </c>
      <c r="E23" s="166"/>
      <c r="F23" s="166"/>
      <c r="G23" s="166"/>
      <c r="H23" s="86" t="s">
        <v>243</v>
      </c>
      <c r="I23" s="57"/>
      <c r="K23" s="23">
        <f>VLOOKUP(H23,AnswersGen[#All],2,FALSE)</f>
        <v>0</v>
      </c>
      <c r="M23" s="24">
        <v>1</v>
      </c>
      <c r="N23" s="25" t="b">
        <f t="shared" si="4"/>
        <v>0</v>
      </c>
      <c r="O23" s="24">
        <v>1</v>
      </c>
      <c r="P23" s="25" t="b">
        <f t="shared" ref="P23:P24" si="5">$K23=O23</f>
        <v>0</v>
      </c>
      <c r="Q23" s="24">
        <v>1</v>
      </c>
      <c r="R23" s="25" t="b">
        <f>$K23=Q23</f>
        <v>0</v>
      </c>
    </row>
    <row r="24" spans="2:18" ht="36" customHeight="1" x14ac:dyDescent="0.45">
      <c r="B24" s="110"/>
      <c r="C24" s="55" t="s">
        <v>50</v>
      </c>
      <c r="D24" s="180" t="s">
        <v>642</v>
      </c>
      <c r="E24" s="181"/>
      <c r="F24" s="181"/>
      <c r="G24" s="182"/>
      <c r="H24" s="85" t="s">
        <v>243</v>
      </c>
      <c r="I24" s="57"/>
      <c r="K24" s="23">
        <f>VLOOKUP(H24,AnswersGen[#All],2,FALSE)</f>
        <v>0</v>
      </c>
      <c r="M24" s="24">
        <v>1</v>
      </c>
      <c r="N24" s="25" t="b">
        <f t="shared" si="4"/>
        <v>0</v>
      </c>
      <c r="O24" s="24">
        <v>1</v>
      </c>
      <c r="P24" s="25" t="b">
        <f t="shared" si="5"/>
        <v>0</v>
      </c>
      <c r="Q24" s="24">
        <v>1</v>
      </c>
      <c r="R24" s="25" t="b">
        <f>$K24=Q24</f>
        <v>0</v>
      </c>
    </row>
    <row r="25" spans="2:18" ht="20" customHeight="1" thickBot="1" x14ac:dyDescent="0.5">
      <c r="B25" s="110"/>
      <c r="C25" s="83" t="s">
        <v>500</v>
      </c>
      <c r="D25" s="32"/>
      <c r="E25" s="32"/>
      <c r="F25" s="32"/>
      <c r="G25" s="33" t="s">
        <v>494</v>
      </c>
      <c r="H25" s="84" t="str">
        <f>IF(OR(H20="",H21="",H22="",H23="",H24=""),"Answer all questions",IF(R25,VLOOKUP(3,PerfLevels[#All],2,FALSE),IF(P25,VLOOKUP(2,PerfLevels[#All],2,FALSE),IF(N25,VLOOKUP(1,PerfLevels[#All],2,FALSE),VLOOKUP(0,PerfLevels[#All],2,FALSE)))))</f>
        <v>Практика отсутствует</v>
      </c>
      <c r="I25" s="57"/>
      <c r="M25" s="27" t="s">
        <v>24</v>
      </c>
      <c r="N25" s="28" t="b">
        <f>AND(N20)</f>
        <v>0</v>
      </c>
      <c r="O25" s="27" t="s">
        <v>24</v>
      </c>
      <c r="P25" s="28" t="b">
        <f>AND(P20:P22)</f>
        <v>0</v>
      </c>
      <c r="Q25" s="27" t="s">
        <v>24</v>
      </c>
      <c r="R25" s="28" t="b">
        <f>AND(R20:R24)</f>
        <v>0</v>
      </c>
    </row>
    <row r="26" spans="2:18" ht="10.050000000000001" customHeight="1" x14ac:dyDescent="0.45">
      <c r="B26" s="110"/>
      <c r="C26" s="57"/>
      <c r="D26" s="59"/>
      <c r="E26" s="59"/>
      <c r="F26" s="59"/>
      <c r="G26" s="59"/>
      <c r="H26" s="60"/>
      <c r="I26" s="57"/>
      <c r="M26" s="27" t="s">
        <v>26</v>
      </c>
      <c r="N26" s="29">
        <f>VLOOKUP(1,PerfLevels[#All],3,FALSE)</f>
        <v>7</v>
      </c>
      <c r="O26" s="27" t="s">
        <v>26</v>
      </c>
      <c r="P26" s="29">
        <f>VLOOKUP(2,PerfLevels[#All],3,FALSE)</f>
        <v>14</v>
      </c>
      <c r="Q26" s="27" t="s">
        <v>26</v>
      </c>
      <c r="R26" s="29">
        <f>VLOOKUP(3,PerfLevels[#All],3,FALSE)</f>
        <v>21</v>
      </c>
    </row>
    <row r="27" spans="2:18" ht="10.050000000000001" customHeight="1" thickBot="1" x14ac:dyDescent="0.5">
      <c r="B27" s="110"/>
      <c r="C27" s="57"/>
      <c r="D27" s="59"/>
      <c r="E27" s="59"/>
      <c r="F27" s="59"/>
      <c r="G27" s="59"/>
      <c r="H27" s="60"/>
      <c r="I27" s="57"/>
      <c r="M27" s="27" t="s">
        <v>240</v>
      </c>
      <c r="N27" s="29">
        <f>COUNTIF(N21:N24,TRUE)</f>
        <v>0</v>
      </c>
      <c r="O27" s="27" t="s">
        <v>240</v>
      </c>
      <c r="P27" s="29">
        <f>COUNTIF(P23:P24,TRUE)</f>
        <v>0</v>
      </c>
      <c r="Q27" s="108"/>
      <c r="R27" s="108"/>
    </row>
    <row r="28" spans="2:18" ht="30" customHeight="1" thickBot="1" x14ac:dyDescent="0.5">
      <c r="B28" s="110"/>
      <c r="C28" s="18" t="s">
        <v>258</v>
      </c>
      <c r="D28" s="167" t="s">
        <v>643</v>
      </c>
      <c r="E28" s="167"/>
      <c r="F28" s="167"/>
      <c r="G28" s="167"/>
      <c r="H28" s="168"/>
      <c r="I28" s="57"/>
      <c r="M28" s="34" t="s">
        <v>190</v>
      </c>
      <c r="N28" s="133">
        <f>IF(R25,R26,IF(P25,P26+P27,IF(N25,N26+N27,0)))</f>
        <v>0</v>
      </c>
      <c r="O28" s="37"/>
      <c r="P28" s="37"/>
      <c r="Q28" s="37"/>
      <c r="R28" s="37"/>
    </row>
    <row r="29" spans="2:18" ht="27" customHeight="1" x14ac:dyDescent="0.45">
      <c r="B29" s="110"/>
      <c r="C29" s="19" t="s">
        <v>465</v>
      </c>
      <c r="D29" s="169" t="s">
        <v>661</v>
      </c>
      <c r="E29" s="169"/>
      <c r="F29" s="169"/>
      <c r="G29" s="170"/>
      <c r="H29" s="171"/>
      <c r="I29" s="57"/>
    </row>
    <row r="30" spans="2:18" ht="60" customHeight="1" x14ac:dyDescent="0.45">
      <c r="B30" s="110"/>
      <c r="C30" s="19" t="s">
        <v>466</v>
      </c>
      <c r="D30" s="162" t="s">
        <v>660</v>
      </c>
      <c r="E30" s="162"/>
      <c r="F30" s="162"/>
      <c r="G30" s="163"/>
      <c r="H30" s="164"/>
      <c r="I30" s="57"/>
      <c r="M30" s="159" t="s">
        <v>20</v>
      </c>
      <c r="N30" s="159"/>
      <c r="O30" s="159"/>
      <c r="P30" s="159"/>
      <c r="Q30" s="159"/>
      <c r="R30" s="159"/>
    </row>
    <row r="31" spans="2:18" ht="27" customHeight="1" x14ac:dyDescent="0.45">
      <c r="B31" s="110"/>
      <c r="C31" s="172" t="s">
        <v>267</v>
      </c>
      <c r="D31" s="173"/>
      <c r="E31" s="173"/>
      <c r="F31" s="173"/>
      <c r="G31" s="173"/>
      <c r="H31" s="20" t="s">
        <v>259</v>
      </c>
      <c r="I31" s="57"/>
      <c r="K31" s="21" t="s">
        <v>31</v>
      </c>
      <c r="M31" s="160" t="s">
        <v>118</v>
      </c>
      <c r="N31" s="160"/>
      <c r="O31" s="160" t="s">
        <v>119</v>
      </c>
      <c r="P31" s="160"/>
      <c r="Q31" s="160" t="s">
        <v>120</v>
      </c>
      <c r="R31" s="160"/>
    </row>
    <row r="32" spans="2:18" ht="52.05" customHeight="1" x14ac:dyDescent="0.45">
      <c r="B32" s="110"/>
      <c r="C32" s="22" t="s">
        <v>162</v>
      </c>
      <c r="D32" s="165" t="s">
        <v>645</v>
      </c>
      <c r="E32" s="165"/>
      <c r="F32" s="165"/>
      <c r="G32" s="165"/>
      <c r="H32" s="85" t="s">
        <v>243</v>
      </c>
      <c r="I32" s="57"/>
      <c r="K32" s="23">
        <f>VLOOKUP(H32,AnswersGen[#All],2,FALSE)</f>
        <v>0</v>
      </c>
      <c r="M32" s="24">
        <v>1</v>
      </c>
      <c r="N32" s="25" t="b">
        <f>$K32=M32</f>
        <v>0</v>
      </c>
      <c r="O32" s="24">
        <v>1</v>
      </c>
      <c r="P32" s="25" t="b">
        <f>$K32=O32</f>
        <v>0</v>
      </c>
      <c r="Q32" s="24">
        <v>1</v>
      </c>
      <c r="R32" s="25" t="b">
        <f>$K32=Q32</f>
        <v>0</v>
      </c>
    </row>
    <row r="33" spans="2:18" ht="40.049999999999997" customHeight="1" collapsed="1" x14ac:dyDescent="0.45">
      <c r="B33" s="110"/>
      <c r="C33" s="26" t="s">
        <v>41</v>
      </c>
      <c r="D33" s="166" t="s">
        <v>646</v>
      </c>
      <c r="E33" s="166"/>
      <c r="F33" s="166"/>
      <c r="G33" s="166"/>
      <c r="H33" s="86" t="s">
        <v>243</v>
      </c>
      <c r="I33" s="57"/>
      <c r="K33" s="23">
        <f>VLOOKUP(H33,AnswersGen[#All],2,FALSE)</f>
        <v>0</v>
      </c>
      <c r="M33" s="24">
        <v>1</v>
      </c>
      <c r="N33" s="25" t="b">
        <f t="shared" ref="N33:N35" si="6">$K33=M33</f>
        <v>0</v>
      </c>
      <c r="O33" s="24">
        <v>1</v>
      </c>
      <c r="P33" s="25" t="b">
        <f>$K33=O33</f>
        <v>0</v>
      </c>
      <c r="Q33" s="24">
        <v>1</v>
      </c>
      <c r="R33" s="25" t="b">
        <f>$K33=Q33</f>
        <v>0</v>
      </c>
    </row>
    <row r="34" spans="2:18" ht="35.549999999999997" customHeight="1" collapsed="1" x14ac:dyDescent="0.45">
      <c r="B34" s="110"/>
      <c r="C34" s="22" t="s">
        <v>42</v>
      </c>
      <c r="D34" s="165" t="s">
        <v>647</v>
      </c>
      <c r="E34" s="165"/>
      <c r="F34" s="165"/>
      <c r="G34" s="165"/>
      <c r="H34" s="85" t="s">
        <v>243</v>
      </c>
      <c r="I34" s="57"/>
      <c r="K34" s="23">
        <f>VLOOKUP(H34,AnswersGen[#All],2,FALSE)</f>
        <v>0</v>
      </c>
      <c r="M34" s="24">
        <v>1</v>
      </c>
      <c r="N34" s="25" t="b">
        <f t="shared" si="6"/>
        <v>0</v>
      </c>
      <c r="O34" s="24">
        <v>1</v>
      </c>
      <c r="P34" s="25" t="b">
        <f>$K34=O34</f>
        <v>0</v>
      </c>
      <c r="Q34" s="24">
        <v>1</v>
      </c>
      <c r="R34" s="25" t="b">
        <f>$K34=Q34</f>
        <v>0</v>
      </c>
    </row>
    <row r="35" spans="2:18" ht="30" customHeight="1" collapsed="1" x14ac:dyDescent="0.45">
      <c r="B35" s="110"/>
      <c r="C35" s="26" t="s">
        <v>43</v>
      </c>
      <c r="D35" s="166" t="s">
        <v>648</v>
      </c>
      <c r="E35" s="166"/>
      <c r="F35" s="166"/>
      <c r="G35" s="166"/>
      <c r="H35" s="80" t="s">
        <v>243</v>
      </c>
      <c r="I35" s="57"/>
      <c r="K35" s="23">
        <f>VLOOKUP(H35,AnswersGen[#All],2,FALSE)</f>
        <v>0</v>
      </c>
      <c r="M35" s="24">
        <v>1</v>
      </c>
      <c r="N35" s="25" t="b">
        <f t="shared" si="6"/>
        <v>0</v>
      </c>
      <c r="O35" s="24">
        <v>1</v>
      </c>
      <c r="P35" s="25" t="b">
        <f>$K35=O35</f>
        <v>0</v>
      </c>
      <c r="Q35" s="24">
        <v>1</v>
      </c>
      <c r="R35" s="25" t="b">
        <f>$K35=Q35</f>
        <v>0</v>
      </c>
    </row>
    <row r="36" spans="2:18" ht="20" customHeight="1" collapsed="1" thickBot="1" x14ac:dyDescent="0.5">
      <c r="B36" s="110"/>
      <c r="C36" s="83" t="s">
        <v>500</v>
      </c>
      <c r="D36" s="32"/>
      <c r="E36" s="32"/>
      <c r="F36" s="32"/>
      <c r="G36" s="33" t="s">
        <v>493</v>
      </c>
      <c r="H36" s="84" t="str">
        <f>IF(OR(H32="",H33="",H34="",H35=""),"Answer all questions",IF(R36,VLOOKUP(3,PerfLevels[#All],2,FALSE),IF(P36,VLOOKUP(2,PerfLevels[#All],2,FALSE),IF(N36,VLOOKUP(1,PerfLevels[#All],2,FALSE),VLOOKUP(0,PerfLevels[#All],2,FALSE)))))</f>
        <v>Практика отсутствует</v>
      </c>
      <c r="I36" s="57"/>
      <c r="M36" s="27" t="s">
        <v>24</v>
      </c>
      <c r="N36" s="28" t="b">
        <f>AND(N32)</f>
        <v>0</v>
      </c>
      <c r="O36" s="27" t="s">
        <v>24</v>
      </c>
      <c r="P36" s="28" t="b">
        <f>AND(P32:P34)</f>
        <v>0</v>
      </c>
      <c r="Q36" s="27" t="s">
        <v>24</v>
      </c>
      <c r="R36" s="28" t="b">
        <f>AND(R32:R35)</f>
        <v>0</v>
      </c>
    </row>
    <row r="37" spans="2:18" ht="10.050000000000001" customHeight="1" x14ac:dyDescent="0.45">
      <c r="B37" s="110"/>
      <c r="C37" s="57"/>
      <c r="D37" s="59"/>
      <c r="E37" s="59"/>
      <c r="F37" s="59"/>
      <c r="G37" s="59"/>
      <c r="H37" s="60"/>
      <c r="I37" s="57"/>
      <c r="M37" s="27" t="s">
        <v>26</v>
      </c>
      <c r="N37" s="29">
        <f>VLOOKUP(1,PerfLevels[#All],3,FALSE)</f>
        <v>7</v>
      </c>
      <c r="O37" s="27" t="s">
        <v>26</v>
      </c>
      <c r="P37" s="29">
        <f>VLOOKUP(2,PerfLevels[#All],3,FALSE)</f>
        <v>14</v>
      </c>
      <c r="Q37" s="27" t="s">
        <v>26</v>
      </c>
      <c r="R37" s="29">
        <f>VLOOKUP(3,PerfLevels[#All],3,FALSE)</f>
        <v>21</v>
      </c>
    </row>
    <row r="38" spans="2:18" ht="10.050000000000001" customHeight="1" thickBot="1" x14ac:dyDescent="0.5">
      <c r="B38" s="110"/>
      <c r="C38" s="57"/>
      <c r="D38" s="59"/>
      <c r="E38" s="59"/>
      <c r="F38" s="59"/>
      <c r="G38" s="59"/>
      <c r="H38" s="60"/>
      <c r="I38" s="57"/>
      <c r="M38" s="27" t="s">
        <v>240</v>
      </c>
      <c r="N38" s="29">
        <f>COUNTIF(N33:N35,TRUE)</f>
        <v>0</v>
      </c>
      <c r="O38" s="27" t="s">
        <v>240</v>
      </c>
      <c r="P38" s="29">
        <f>COUNTIF(P35,TRUE)</f>
        <v>0</v>
      </c>
    </row>
    <row r="39" spans="2:18" ht="27" customHeight="1" thickBot="1" x14ac:dyDescent="0.5">
      <c r="B39" s="110"/>
      <c r="C39" s="18" t="s">
        <v>258</v>
      </c>
      <c r="D39" s="167" t="s">
        <v>649</v>
      </c>
      <c r="E39" s="167"/>
      <c r="F39" s="167"/>
      <c r="G39" s="167"/>
      <c r="H39" s="168"/>
      <c r="I39" s="57"/>
      <c r="M39" s="34" t="s">
        <v>44</v>
      </c>
      <c r="N39" s="133">
        <f>IF(R36,R37,IF(P36,P37+P38,IF(N36,N37+N38,0)))</f>
        <v>0</v>
      </c>
    </row>
    <row r="40" spans="2:18" ht="40.049999999999997" customHeight="1" x14ac:dyDescent="0.45">
      <c r="B40" s="110"/>
      <c r="C40" s="19" t="s">
        <v>465</v>
      </c>
      <c r="D40" s="169" t="s">
        <v>662</v>
      </c>
      <c r="E40" s="170"/>
      <c r="F40" s="170"/>
      <c r="G40" s="170"/>
      <c r="H40" s="171"/>
      <c r="I40" s="57"/>
    </row>
    <row r="41" spans="2:18" ht="60" customHeight="1" x14ac:dyDescent="0.45">
      <c r="B41" s="110"/>
      <c r="C41" s="19" t="s">
        <v>466</v>
      </c>
      <c r="D41" s="162" t="s">
        <v>663</v>
      </c>
      <c r="E41" s="162"/>
      <c r="F41" s="162"/>
      <c r="G41" s="163"/>
      <c r="H41" s="164"/>
      <c r="I41" s="57"/>
      <c r="M41" s="159" t="s">
        <v>20</v>
      </c>
      <c r="N41" s="159"/>
      <c r="O41" s="159"/>
      <c r="P41" s="159"/>
      <c r="Q41" s="159"/>
      <c r="R41" s="159"/>
    </row>
    <row r="42" spans="2:18" ht="29.55" customHeight="1" x14ac:dyDescent="0.45">
      <c r="B42" s="110"/>
      <c r="C42" s="172" t="s">
        <v>267</v>
      </c>
      <c r="D42" s="173"/>
      <c r="E42" s="173"/>
      <c r="F42" s="173"/>
      <c r="G42" s="173"/>
      <c r="H42" s="20" t="s">
        <v>259</v>
      </c>
      <c r="I42" s="57"/>
      <c r="K42" s="21" t="s">
        <v>31</v>
      </c>
      <c r="M42" s="160" t="s">
        <v>118</v>
      </c>
      <c r="N42" s="160"/>
      <c r="O42" s="160" t="s">
        <v>119</v>
      </c>
      <c r="P42" s="160"/>
      <c r="Q42" s="160" t="s">
        <v>120</v>
      </c>
      <c r="R42" s="160"/>
    </row>
    <row r="43" spans="2:18" ht="38.549999999999997" customHeight="1" x14ac:dyDescent="0.45">
      <c r="B43" s="110"/>
      <c r="C43" s="22" t="s">
        <v>45</v>
      </c>
      <c r="D43" s="165" t="s">
        <v>651</v>
      </c>
      <c r="E43" s="165"/>
      <c r="F43" s="165"/>
      <c r="G43" s="165"/>
      <c r="H43" s="79" t="s">
        <v>243</v>
      </c>
      <c r="I43" s="57"/>
      <c r="K43" s="23">
        <f>VLOOKUP(H43,AnswersGen[#All],2,FALSE)</f>
        <v>0</v>
      </c>
      <c r="M43" s="24">
        <v>1</v>
      </c>
      <c r="N43" s="25" t="b">
        <f>$K43=M43</f>
        <v>0</v>
      </c>
      <c r="O43" s="24">
        <v>1</v>
      </c>
      <c r="P43" s="25" t="b">
        <f t="shared" ref="P43:P48" si="7">$K43=O43</f>
        <v>0</v>
      </c>
      <c r="Q43" s="24">
        <v>1</v>
      </c>
      <c r="R43" s="25" t="b">
        <f>$K43=Q43</f>
        <v>0</v>
      </c>
    </row>
    <row r="44" spans="2:18" ht="28.05" customHeight="1" collapsed="1" x14ac:dyDescent="0.45">
      <c r="B44" s="110"/>
      <c r="C44" s="26" t="s">
        <v>46</v>
      </c>
      <c r="D44" s="166" t="s">
        <v>652</v>
      </c>
      <c r="E44" s="166"/>
      <c r="F44" s="166"/>
      <c r="G44" s="166"/>
      <c r="H44" s="80" t="s">
        <v>243</v>
      </c>
      <c r="I44" s="57"/>
      <c r="K44" s="23">
        <f>VLOOKUP(H44,AnswersGen[#All],2,FALSE)</f>
        <v>0</v>
      </c>
      <c r="M44" s="24">
        <v>1</v>
      </c>
      <c r="N44" s="25" t="b">
        <f>$K44=M44</f>
        <v>0</v>
      </c>
      <c r="O44" s="24">
        <v>1</v>
      </c>
      <c r="P44" s="25" t="b">
        <f t="shared" si="7"/>
        <v>0</v>
      </c>
      <c r="Q44" s="24">
        <v>1</v>
      </c>
      <c r="R44" s="25" t="b">
        <f>$K44=Q44</f>
        <v>0</v>
      </c>
    </row>
    <row r="45" spans="2:18" ht="38.549999999999997" customHeight="1" x14ac:dyDescent="0.45">
      <c r="B45" s="110"/>
      <c r="C45" s="22" t="s">
        <v>47</v>
      </c>
      <c r="D45" s="165" t="s">
        <v>653</v>
      </c>
      <c r="E45" s="165"/>
      <c r="F45" s="165"/>
      <c r="G45" s="165"/>
      <c r="H45" s="85" t="s">
        <v>243</v>
      </c>
      <c r="I45" s="57"/>
      <c r="K45" s="23">
        <f>VLOOKUP(H45,AnswersGen[#All],2,FALSE)</f>
        <v>0</v>
      </c>
      <c r="M45" s="24">
        <v>1</v>
      </c>
      <c r="N45" s="25" t="b">
        <f t="shared" ref="N45:N48" si="8">$K45=M45</f>
        <v>0</v>
      </c>
      <c r="O45" s="24">
        <v>1</v>
      </c>
      <c r="P45" s="25" t="b">
        <f t="shared" si="7"/>
        <v>0</v>
      </c>
      <c r="Q45" s="24">
        <v>1</v>
      </c>
      <c r="R45" s="25" t="b">
        <f>$K45=Q45</f>
        <v>0</v>
      </c>
    </row>
    <row r="46" spans="2:18" ht="38.549999999999997" customHeight="1" x14ac:dyDescent="0.45">
      <c r="B46" s="110"/>
      <c r="C46" s="26" t="s">
        <v>51</v>
      </c>
      <c r="D46" s="183" t="s">
        <v>654</v>
      </c>
      <c r="E46" s="184"/>
      <c r="F46" s="184"/>
      <c r="G46" s="185"/>
      <c r="H46" s="80" t="s">
        <v>243</v>
      </c>
      <c r="I46" s="57"/>
      <c r="K46" s="23">
        <f>VLOOKUP(H46,AnswersGen[#All],2,FALSE)</f>
        <v>0</v>
      </c>
      <c r="L46" s="51"/>
      <c r="M46" s="24">
        <v>1</v>
      </c>
      <c r="N46" s="25" t="b">
        <f t="shared" si="8"/>
        <v>0</v>
      </c>
      <c r="O46" s="24">
        <v>1</v>
      </c>
      <c r="P46" s="25" t="b">
        <f t="shared" si="7"/>
        <v>0</v>
      </c>
      <c r="Q46" s="24">
        <v>1</v>
      </c>
      <c r="R46" s="25" t="b">
        <f t="shared" ref="R46" si="9">$K46=Q46</f>
        <v>0</v>
      </c>
    </row>
    <row r="47" spans="2:18" ht="38.549999999999997" customHeight="1" collapsed="1" x14ac:dyDescent="0.45">
      <c r="B47" s="110"/>
      <c r="C47" s="54" t="s">
        <v>52</v>
      </c>
      <c r="D47" s="180" t="s">
        <v>655</v>
      </c>
      <c r="E47" s="181"/>
      <c r="F47" s="181"/>
      <c r="G47" s="182"/>
      <c r="H47" s="85" t="s">
        <v>243</v>
      </c>
      <c r="I47" s="57"/>
      <c r="K47" s="23">
        <f>VLOOKUP(H47,AnswersGen[#All],2,FALSE)</f>
        <v>0</v>
      </c>
      <c r="L47" s="51"/>
      <c r="M47" s="24">
        <v>1</v>
      </c>
      <c r="N47" s="25" t="b">
        <f t="shared" si="8"/>
        <v>0</v>
      </c>
      <c r="O47" s="24">
        <v>1</v>
      </c>
      <c r="P47" s="25" t="b">
        <f t="shared" si="7"/>
        <v>0</v>
      </c>
      <c r="Q47" s="24">
        <v>1</v>
      </c>
      <c r="R47" s="25" t="b">
        <f>$K47=Q47</f>
        <v>0</v>
      </c>
    </row>
    <row r="48" spans="2:18" ht="48" customHeight="1" x14ac:dyDescent="0.45">
      <c r="B48" s="110"/>
      <c r="C48" s="56" t="s">
        <v>53</v>
      </c>
      <c r="D48" s="177" t="s">
        <v>656</v>
      </c>
      <c r="E48" s="178"/>
      <c r="F48" s="178"/>
      <c r="G48" s="179"/>
      <c r="H48" s="14" t="s">
        <v>243</v>
      </c>
      <c r="I48" s="57"/>
      <c r="K48" s="23">
        <f>VLOOKUP(H48,AnswersGen[#All],2,FALSE)</f>
        <v>0</v>
      </c>
      <c r="M48" s="24">
        <v>1</v>
      </c>
      <c r="N48" s="25" t="b">
        <f t="shared" si="8"/>
        <v>0</v>
      </c>
      <c r="O48" s="24">
        <v>1</v>
      </c>
      <c r="P48" s="25" t="b">
        <f t="shared" si="7"/>
        <v>0</v>
      </c>
      <c r="Q48" s="24">
        <v>1</v>
      </c>
      <c r="R48" s="25" t="b">
        <f>$K48=Q48</f>
        <v>0</v>
      </c>
    </row>
    <row r="49" spans="2:18" ht="20" customHeight="1" thickBot="1" x14ac:dyDescent="0.5">
      <c r="B49" s="110"/>
      <c r="C49" s="83"/>
      <c r="D49" s="32"/>
      <c r="E49" s="32"/>
      <c r="F49" s="32"/>
      <c r="G49" s="33" t="s">
        <v>492</v>
      </c>
      <c r="H49" s="84" t="str">
        <f>IF(OR(H43="",H44="",H45="",H46="",H47="",H48=""),"Answer all questions",IF(R49,VLOOKUP(3,PerfLevels[#All],2,FALSE),IF(P49,VLOOKUP(2,PerfLevels[#All],2,FALSE),IF(N49,VLOOKUP(1,PerfLevels[#All],2,FALSE),VLOOKUP(0,PerfLevels[#All],2,FALSE)))))</f>
        <v>Практика отсутствует</v>
      </c>
      <c r="I49" s="57"/>
      <c r="M49" s="27" t="s">
        <v>24</v>
      </c>
      <c r="N49" s="28" t="b">
        <f>AND(N43:N44)</f>
        <v>0</v>
      </c>
      <c r="O49" s="27" t="s">
        <v>24</v>
      </c>
      <c r="P49" s="28" t="b">
        <f>AND(P43:P47)</f>
        <v>0</v>
      </c>
      <c r="Q49" s="27" t="s">
        <v>24</v>
      </c>
      <c r="R49" s="28" t="b">
        <f>AND(R43:R48)</f>
        <v>0</v>
      </c>
    </row>
    <row r="50" spans="2:18" ht="15.5" customHeight="1" x14ac:dyDescent="0.45">
      <c r="B50" s="110"/>
      <c r="C50" s="57"/>
      <c r="D50" s="57"/>
      <c r="E50" s="57"/>
      <c r="F50" s="57"/>
      <c r="G50" s="58"/>
      <c r="H50" s="58"/>
      <c r="I50" s="57"/>
      <c r="M50" s="27" t="s">
        <v>26</v>
      </c>
      <c r="N50" s="29">
        <f>VLOOKUP(1,PerfLevels[#All],3,FALSE)</f>
        <v>7</v>
      </c>
      <c r="O50" s="27" t="s">
        <v>26</v>
      </c>
      <c r="P50" s="29">
        <f>VLOOKUP(2,PerfLevels[#All],3,FALSE)</f>
        <v>14</v>
      </c>
      <c r="Q50" s="27" t="s">
        <v>26</v>
      </c>
      <c r="R50" s="29">
        <f>VLOOKUP(3,PerfLevels[#All],3,FALSE)</f>
        <v>21</v>
      </c>
    </row>
    <row r="51" spans="2:18" ht="16.5" customHeight="1" thickBot="1" x14ac:dyDescent="0.5">
      <c r="B51" s="110"/>
      <c r="C51" s="57"/>
      <c r="D51" s="57"/>
      <c r="E51" s="57"/>
      <c r="F51" s="57"/>
      <c r="G51" s="58"/>
      <c r="H51" s="58"/>
      <c r="I51" s="57"/>
      <c r="M51" s="27" t="s">
        <v>240</v>
      </c>
      <c r="N51" s="29">
        <f>COUNTIF(N45:N48,TRUE)</f>
        <v>0</v>
      </c>
      <c r="O51" s="27" t="s">
        <v>240</v>
      </c>
      <c r="P51" s="29">
        <f>COUNTIF(P48,TRUE)</f>
        <v>0</v>
      </c>
    </row>
    <row r="52" spans="2:18" ht="10.050000000000001" customHeight="1" thickBot="1" x14ac:dyDescent="0.5">
      <c r="B52" s="110"/>
      <c r="C52" s="57"/>
      <c r="D52" s="57"/>
      <c r="E52" s="57"/>
      <c r="F52" s="57"/>
      <c r="G52" s="58"/>
      <c r="H52" s="58"/>
      <c r="I52" s="57"/>
      <c r="M52" s="34" t="s">
        <v>48</v>
      </c>
      <c r="N52" s="133">
        <f>IF(R49,R50,IF(P49,P50+P51,IF(N49,N50+N51,0)))</f>
        <v>0</v>
      </c>
    </row>
    <row r="53" spans="2:18" ht="27" customHeight="1" thickBot="1" x14ac:dyDescent="0.5">
      <c r="Q53" s="39" t="s">
        <v>32</v>
      </c>
      <c r="R53" s="40">
        <f>SUM(R14,R26,R37,R50)</f>
        <v>84</v>
      </c>
    </row>
    <row r="54" spans="2:18" ht="27" customHeight="1" x14ac:dyDescent="0.45">
      <c r="M54" s="41" t="s">
        <v>111</v>
      </c>
      <c r="N54" s="42"/>
      <c r="R54" s="38"/>
    </row>
    <row r="55" spans="2:18" ht="27" customHeight="1" thickBot="1" x14ac:dyDescent="0.5">
      <c r="M55" s="8">
        <f>SUM(N16,N28,N39,N52)</f>
        <v>0</v>
      </c>
      <c r="N55" s="9"/>
    </row>
  </sheetData>
  <sheetProtection algorithmName="SHA-512" hashValue="Yz1k9plv73uXFv4OGs8oqF7fxZboS3dTo+KRzv1Rp7z9d9vUeifLxMGIYLdJDGrWEjOxqnhTZ9iVpWPqlmsaJQ==" saltValue="8JnpnKt6sKPvV9cDVzAJGg==" spinCount="100000" sheet="1" objects="1" scenarios="1"/>
  <mergeCells count="55">
    <mergeCell ref="D47:G47"/>
    <mergeCell ref="D48:G48"/>
    <mergeCell ref="D40:H40"/>
    <mergeCell ref="D41:H41"/>
    <mergeCell ref="C42:G42"/>
    <mergeCell ref="D43:G43"/>
    <mergeCell ref="D46:G46"/>
    <mergeCell ref="D44:G44"/>
    <mergeCell ref="D45:G45"/>
    <mergeCell ref="O42:P42"/>
    <mergeCell ref="Q42:R42"/>
    <mergeCell ref="M41:R41"/>
    <mergeCell ref="D29:H29"/>
    <mergeCell ref="M30:R30"/>
    <mergeCell ref="M31:N31"/>
    <mergeCell ref="O31:P31"/>
    <mergeCell ref="Q31:R31"/>
    <mergeCell ref="D30:H30"/>
    <mergeCell ref="C31:G31"/>
    <mergeCell ref="D32:G32"/>
    <mergeCell ref="D33:G33"/>
    <mergeCell ref="D34:G34"/>
    <mergeCell ref="D35:G35"/>
    <mergeCell ref="D39:H39"/>
    <mergeCell ref="D28:H28"/>
    <mergeCell ref="D24:G24"/>
    <mergeCell ref="D21:G21"/>
    <mergeCell ref="D22:G22"/>
    <mergeCell ref="M42:N42"/>
    <mergeCell ref="D20:G20"/>
    <mergeCell ref="D17:H17"/>
    <mergeCell ref="M19:N19"/>
    <mergeCell ref="O19:P19"/>
    <mergeCell ref="D23:G23"/>
    <mergeCell ref="Q19:R19"/>
    <mergeCell ref="D10:G10"/>
    <mergeCell ref="D11:G11"/>
    <mergeCell ref="D16:H16"/>
    <mergeCell ref="D18:H18"/>
    <mergeCell ref="D12:G12"/>
    <mergeCell ref="M18:R18"/>
    <mergeCell ref="C19:G19"/>
    <mergeCell ref="D8:G8"/>
    <mergeCell ref="D9:G9"/>
    <mergeCell ref="C6:G6"/>
    <mergeCell ref="M6:N6"/>
    <mergeCell ref="O6:P6"/>
    <mergeCell ref="Q6:R6"/>
    <mergeCell ref="D7:G7"/>
    <mergeCell ref="D5:H5"/>
    <mergeCell ref="M5:R5"/>
    <mergeCell ref="C1:H1"/>
    <mergeCell ref="C2:H2"/>
    <mergeCell ref="D3:H3"/>
    <mergeCell ref="D4:H4"/>
  </mergeCells>
  <dataValidations count="3">
    <dataValidation type="list" allowBlank="1" showInputMessage="1" showErrorMessage="1" errorTitle="Invalid" error="Please choose an option from the list" promptTitle="Answer" prompt="Please select an answer from the list" sqref="H8:H11 H20:H23 H32:H35 H43:H47" xr:uid="{B3B5D48F-B8F8-C74E-BE33-8D8D5E3009AF}">
      <formula1>INDIRECT("AnswersGen[Choices]")</formula1>
    </dataValidation>
    <dataValidation type="list" allowBlank="1" showInputMessage="1" showErrorMessage="1" errorTitle="Invalid" error="Please choose an option from the list" sqref="H48 H12 H24" xr:uid="{BBFBF0E7-4E29-D846-A20E-1FCD51EC0FD1}">
      <formula1>INDIRECT("AnswersGen[Choices]")</formula1>
    </dataValidation>
    <dataValidation type="list" allowBlank="1" showInputMessage="1" showErrorMessage="1" errorTitle="Invalid" error="Please choose an option from the list" promptTitle="Answer" prompt="Please select an answer from the list" sqref="H7" xr:uid="{5F9DDEFB-246A-4D66-901F-BEF4EB88BA0D}">
      <formula1>INDIRECT("AnswersEE11[Choices]")</formula1>
    </dataValidation>
  </dataValidations>
  <printOptions horizontalCentered="1"/>
  <pageMargins left="0.7" right="0.7" top="0.75" bottom="0.75" header="0.3" footer="0.3"/>
  <pageSetup paperSize="9" scale="59" fitToHeight="0" orientation="portrait" verticalDpi="0" r:id="rId1"/>
  <headerFooter>
    <oddHeader>&amp;L&amp;G&amp;C&amp;"Calibri (Body),Bold"&amp;23&amp;K338EDDPeople-first PPP Impact Assessment Tool</oddHeader>
  </headerFooter>
  <rowBreaks count="3" manualBreakCount="3">
    <brk id="15" max="16383" man="1"/>
    <brk id="27" max="16383" man="1"/>
    <brk id="38"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349B-D8FB-174B-ABC5-FCEC71A7F3CF}">
  <sheetPr>
    <tabColor rgb="FFA8D08D"/>
    <pageSetUpPr fitToPage="1"/>
  </sheetPr>
  <dimension ref="B1:R97"/>
  <sheetViews>
    <sheetView showGridLines="0" showRowColHeaders="0" zoomScaleNormal="100" workbookViewId="0"/>
  </sheetViews>
  <sheetFormatPr defaultColWidth="8.796875" defaultRowHeight="27" customHeight="1" x14ac:dyDescent="0.45"/>
  <cols>
    <col min="1" max="1" width="2.33203125" style="16" customWidth="1"/>
    <col min="2" max="2" width="1" style="16" customWidth="1"/>
    <col min="3" max="3" width="26.59765625" style="16" customWidth="1"/>
    <col min="4" max="4" width="41.46484375" style="16" customWidth="1"/>
    <col min="5" max="6" width="20.796875" style="16" customWidth="1"/>
    <col min="7" max="7" width="40" style="16" customWidth="1"/>
    <col min="8" max="8" width="26.59765625" style="16" customWidth="1"/>
    <col min="9" max="9" width="1" style="16" customWidth="1"/>
    <col min="10" max="10" width="2.33203125" style="16" customWidth="1"/>
    <col min="11" max="11" width="13.59765625" style="16" hidden="1" customWidth="1"/>
    <col min="12" max="12" width="5.46484375" style="16" hidden="1" customWidth="1"/>
    <col min="13" max="13" width="8.59765625" style="16" hidden="1" customWidth="1"/>
    <col min="14" max="14" width="7.59765625" style="16" hidden="1" customWidth="1"/>
    <col min="15" max="17" width="8.59765625" style="16" hidden="1" customWidth="1"/>
    <col min="18" max="18" width="7.796875" style="16" hidden="1" customWidth="1"/>
    <col min="19" max="19" width="2.33203125" style="16" customWidth="1"/>
    <col min="20" max="16384" width="8.796875" style="16"/>
  </cols>
  <sheetData>
    <row r="1" spans="2:18" ht="13.5" customHeight="1" x14ac:dyDescent="0.45">
      <c r="C1" s="174"/>
      <c r="D1" s="174"/>
      <c r="E1" s="174"/>
      <c r="F1" s="174"/>
      <c r="G1" s="174"/>
      <c r="H1" s="174"/>
    </row>
    <row r="2" spans="2:18" ht="40.049999999999997" customHeight="1" thickBot="1" x14ac:dyDescent="0.5">
      <c r="B2" s="111"/>
      <c r="C2" s="193" t="s">
        <v>627</v>
      </c>
      <c r="D2" s="193"/>
      <c r="E2" s="193"/>
      <c r="F2" s="193"/>
      <c r="G2" s="193"/>
      <c r="H2" s="193"/>
      <c r="I2" s="44"/>
    </row>
    <row r="3" spans="2:18" ht="30" customHeight="1" x14ac:dyDescent="0.45">
      <c r="B3" s="111"/>
      <c r="C3" s="18" t="s">
        <v>258</v>
      </c>
      <c r="D3" s="167" t="s">
        <v>664</v>
      </c>
      <c r="E3" s="167"/>
      <c r="F3" s="167"/>
      <c r="G3" s="167"/>
      <c r="H3" s="168"/>
      <c r="I3" s="44"/>
      <c r="M3" s="90" t="s">
        <v>194</v>
      </c>
    </row>
    <row r="4" spans="2:18" ht="20" customHeight="1" x14ac:dyDescent="0.45">
      <c r="B4" s="111"/>
      <c r="C4" s="19" t="s">
        <v>465</v>
      </c>
      <c r="D4" s="169" t="s">
        <v>712</v>
      </c>
      <c r="E4" s="170"/>
      <c r="F4" s="170"/>
      <c r="G4" s="170"/>
      <c r="H4" s="171"/>
      <c r="I4" s="44"/>
      <c r="M4" s="89">
        <f>IF('Home page'!$C$11="",0,VLOOKUP('Home page'!$C$11,Biocategories[#All],2,FALSE))</f>
        <v>0</v>
      </c>
    </row>
    <row r="5" spans="2:18" ht="115.05" customHeight="1" x14ac:dyDescent="0.45">
      <c r="B5" s="111"/>
      <c r="C5" s="19" t="s">
        <v>466</v>
      </c>
      <c r="D5" s="162" t="s">
        <v>713</v>
      </c>
      <c r="E5" s="163"/>
      <c r="F5" s="163"/>
      <c r="G5" s="163"/>
      <c r="H5" s="164"/>
      <c r="I5" s="44"/>
    </row>
    <row r="6" spans="2:18" ht="28.5" customHeight="1" x14ac:dyDescent="0.45">
      <c r="B6" s="111"/>
      <c r="C6" s="172" t="s">
        <v>267</v>
      </c>
      <c r="D6" s="173"/>
      <c r="E6" s="173"/>
      <c r="F6" s="173"/>
      <c r="G6" s="173"/>
      <c r="H6" s="20" t="s">
        <v>259</v>
      </c>
      <c r="I6" s="44"/>
      <c r="M6" s="159" t="s">
        <v>20</v>
      </c>
      <c r="N6" s="159"/>
      <c r="O6" s="159"/>
      <c r="P6" s="159"/>
      <c r="Q6" s="159"/>
      <c r="R6" s="159"/>
    </row>
    <row r="7" spans="2:18" ht="20" customHeight="1" x14ac:dyDescent="0.45">
      <c r="B7" s="111"/>
      <c r="C7" s="186" t="s">
        <v>725</v>
      </c>
      <c r="D7" s="187"/>
      <c r="E7" s="187"/>
      <c r="F7" s="187"/>
      <c r="G7" s="187"/>
      <c r="H7" s="188"/>
      <c r="I7" s="44"/>
      <c r="K7" s="21" t="s">
        <v>31</v>
      </c>
      <c r="M7" s="194" t="s">
        <v>118</v>
      </c>
      <c r="N7" s="195"/>
      <c r="O7" s="194" t="s">
        <v>119</v>
      </c>
      <c r="P7" s="195"/>
      <c r="Q7" s="194" t="s">
        <v>120</v>
      </c>
      <c r="R7" s="195"/>
    </row>
    <row r="8" spans="2:18" ht="27" customHeight="1" x14ac:dyDescent="0.45">
      <c r="B8" s="111"/>
      <c r="C8" s="22" t="s">
        <v>163</v>
      </c>
      <c r="D8" s="165" t="s">
        <v>666</v>
      </c>
      <c r="E8" s="165"/>
      <c r="F8" s="165"/>
      <c r="G8" s="165"/>
      <c r="H8" s="85" t="s">
        <v>243</v>
      </c>
      <c r="I8" s="44"/>
      <c r="K8" s="23">
        <f>VLOOKUP(H8,AnswersGen[#All],2,FALSE)</f>
        <v>0</v>
      </c>
      <c r="M8" s="24">
        <v>1</v>
      </c>
      <c r="N8" s="25" t="b">
        <f>$K8=M8</f>
        <v>0</v>
      </c>
      <c r="O8" s="24">
        <v>1</v>
      </c>
      <c r="P8" s="25" t="b">
        <f>$K8=O8</f>
        <v>0</v>
      </c>
      <c r="Q8" s="24">
        <v>1</v>
      </c>
      <c r="R8" s="25" t="b">
        <f>$K8=Q8</f>
        <v>0</v>
      </c>
    </row>
    <row r="9" spans="2:18" ht="27" customHeight="1" collapsed="1" x14ac:dyDescent="0.45">
      <c r="B9" s="111"/>
      <c r="C9" s="26" t="s">
        <v>164</v>
      </c>
      <c r="D9" s="166" t="s">
        <v>667</v>
      </c>
      <c r="E9" s="166"/>
      <c r="F9" s="166"/>
      <c r="G9" s="166"/>
      <c r="H9" s="86" t="s">
        <v>243</v>
      </c>
      <c r="I9" s="44"/>
      <c r="K9" s="23">
        <f>VLOOKUP(H9,AnswersGen[#All],2,FALSE)</f>
        <v>0</v>
      </c>
      <c r="M9" s="24">
        <v>1</v>
      </c>
      <c r="N9" s="25" t="b">
        <f>$K9=M9</f>
        <v>0</v>
      </c>
      <c r="O9" s="24">
        <v>1</v>
      </c>
      <c r="P9" s="25" t="b">
        <f>$K9=O9</f>
        <v>0</v>
      </c>
      <c r="Q9" s="24">
        <v>1</v>
      </c>
      <c r="R9" s="25" t="b">
        <f>$K9=Q9</f>
        <v>0</v>
      </c>
    </row>
    <row r="10" spans="2:18" ht="27" customHeight="1" collapsed="1" x14ac:dyDescent="0.45">
      <c r="B10" s="111"/>
      <c r="C10" s="22" t="s">
        <v>54</v>
      </c>
      <c r="D10" s="165" t="s">
        <v>668</v>
      </c>
      <c r="E10" s="165"/>
      <c r="F10" s="165"/>
      <c r="G10" s="165"/>
      <c r="H10" s="78" t="s">
        <v>243</v>
      </c>
      <c r="I10" s="44"/>
      <c r="K10" s="23">
        <f>VLOOKUP(H10,AnswersES13[#All],2,FALSE)</f>
        <v>0</v>
      </c>
      <c r="M10" s="24"/>
      <c r="N10" s="25"/>
      <c r="O10" s="24">
        <v>1</v>
      </c>
      <c r="P10" s="25" t="b">
        <f>$K10&gt;=O10</f>
        <v>0</v>
      </c>
      <c r="Q10" s="24">
        <v>2</v>
      </c>
      <c r="R10" s="25" t="b">
        <f>$K10&gt;=Q10</f>
        <v>0</v>
      </c>
    </row>
    <row r="11" spans="2:18" ht="20" customHeight="1" collapsed="1" x14ac:dyDescent="0.45">
      <c r="B11" s="111"/>
      <c r="C11" s="30" t="s">
        <v>500</v>
      </c>
      <c r="D11" s="45"/>
      <c r="E11" s="45"/>
      <c r="F11" s="189" t="s">
        <v>714</v>
      </c>
      <c r="G11" s="190"/>
      <c r="H11" s="31" t="str">
        <f>IF(OR(H8="",H9="",H10=""),"Answer all questions",IF(R11,VLOOKUP(3,PerfLevels[#All],2,FALSE),IF(P11,VLOOKUP(2,PerfLevels[#All],2,FALSE),IF(N11,VLOOKUP(1,PerfLevels[#All],2,FALSE),VLOOKUP(0,PerfLevels[#All],2,FALSE)))))</f>
        <v>Практика отсутствует</v>
      </c>
      <c r="I11" s="44"/>
      <c r="M11" s="27" t="s">
        <v>24</v>
      </c>
      <c r="N11" s="28" t="b">
        <f>AND(N8:N9)</f>
        <v>0</v>
      </c>
      <c r="O11" s="27" t="s">
        <v>24</v>
      </c>
      <c r="P11" s="28" t="b">
        <f>AND(P8:P10)</f>
        <v>0</v>
      </c>
      <c r="Q11" s="27" t="s">
        <v>24</v>
      </c>
      <c r="R11" s="28" t="b">
        <f>AND(R8:R10)</f>
        <v>0</v>
      </c>
    </row>
    <row r="12" spans="2:18" ht="20" customHeight="1" x14ac:dyDescent="0.45">
      <c r="B12" s="111"/>
      <c r="C12" s="186" t="s">
        <v>726</v>
      </c>
      <c r="D12" s="187"/>
      <c r="E12" s="187"/>
      <c r="F12" s="187"/>
      <c r="G12" s="187"/>
      <c r="H12" s="188"/>
      <c r="I12" s="44"/>
      <c r="M12" s="27" t="s">
        <v>26</v>
      </c>
      <c r="N12" s="29">
        <f>(VLOOKUP(1,PerfLevels[#All],3,FALSE)-$M$4)/2</f>
        <v>3.5</v>
      </c>
      <c r="O12" s="27" t="s">
        <v>26</v>
      </c>
      <c r="P12" s="29">
        <f>(VLOOKUP(2,PerfLevels[#All],3,FALSE)-$M$4)/2</f>
        <v>7</v>
      </c>
      <c r="Q12" s="27" t="s">
        <v>26</v>
      </c>
      <c r="R12" s="29">
        <f>(VLOOKUP(3,PerfLevels[#All],3,FALSE)-$M$4)/2</f>
        <v>10.5</v>
      </c>
    </row>
    <row r="13" spans="2:18" ht="27" customHeight="1" x14ac:dyDescent="0.45">
      <c r="B13" s="111"/>
      <c r="C13" s="26" t="s">
        <v>165</v>
      </c>
      <c r="D13" s="166" t="s">
        <v>669</v>
      </c>
      <c r="E13" s="166"/>
      <c r="F13" s="166"/>
      <c r="G13" s="166"/>
      <c r="H13" s="86" t="s">
        <v>243</v>
      </c>
      <c r="I13" s="44"/>
      <c r="K13" s="23">
        <f>VLOOKUP(H13,AnswersNA[#All],2,FALSE)</f>
        <v>0</v>
      </c>
      <c r="M13" s="24">
        <v>1</v>
      </c>
      <c r="N13" s="25" t="b">
        <f>$K13=M13</f>
        <v>0</v>
      </c>
      <c r="O13" s="24">
        <v>1</v>
      </c>
      <c r="P13" s="25" t="b">
        <f>$K13=O13</f>
        <v>0</v>
      </c>
      <c r="Q13" s="24">
        <v>1</v>
      </c>
      <c r="R13" s="25" t="b">
        <f>$K13=Q13</f>
        <v>0</v>
      </c>
    </row>
    <row r="14" spans="2:18" ht="40.049999999999997" customHeight="1" collapsed="1" x14ac:dyDescent="0.45">
      <c r="B14" s="111"/>
      <c r="C14" s="22" t="s">
        <v>166</v>
      </c>
      <c r="D14" s="165" t="s">
        <v>670</v>
      </c>
      <c r="E14" s="165"/>
      <c r="F14" s="165"/>
      <c r="G14" s="165"/>
      <c r="H14" s="85" t="s">
        <v>243</v>
      </c>
      <c r="I14" s="44"/>
      <c r="K14" s="23">
        <f>VLOOKUP(H14,AnswersNA[#All],2,FALSE)</f>
        <v>0</v>
      </c>
      <c r="M14" s="24">
        <v>1</v>
      </c>
      <c r="N14" s="25" t="b">
        <f>$K14=M14</f>
        <v>0</v>
      </c>
      <c r="O14" s="24">
        <v>1</v>
      </c>
      <c r="P14" s="25" t="b">
        <f>$K14=O14</f>
        <v>0</v>
      </c>
      <c r="Q14" s="24">
        <v>1</v>
      </c>
      <c r="R14" s="25" t="b">
        <f>$K14=Q14</f>
        <v>0</v>
      </c>
    </row>
    <row r="15" spans="2:18" ht="40.049999999999997" customHeight="1" collapsed="1" x14ac:dyDescent="0.45">
      <c r="B15" s="111"/>
      <c r="C15" s="26" t="s">
        <v>55</v>
      </c>
      <c r="D15" s="166" t="s">
        <v>671</v>
      </c>
      <c r="E15" s="166"/>
      <c r="F15" s="166"/>
      <c r="G15" s="166"/>
      <c r="H15" s="86" t="s">
        <v>243</v>
      </c>
      <c r="I15" s="44"/>
      <c r="K15" s="23">
        <f>VLOOKUP(H15,AnswersES16[#All],2,FALSE)</f>
        <v>0</v>
      </c>
      <c r="M15" s="24"/>
      <c r="N15" s="25"/>
      <c r="O15" s="24">
        <v>1</v>
      </c>
      <c r="P15" s="25" t="b">
        <f>$K15&gt;=O15</f>
        <v>0</v>
      </c>
      <c r="Q15" s="24">
        <v>2</v>
      </c>
      <c r="R15" s="25" t="b">
        <f>$K15&gt;=Q15</f>
        <v>0</v>
      </c>
    </row>
    <row r="16" spans="2:18" ht="60" customHeight="1" collapsed="1" x14ac:dyDescent="0.45">
      <c r="B16" s="111"/>
      <c r="C16" s="22" t="s">
        <v>79</v>
      </c>
      <c r="D16" s="165" t="s">
        <v>672</v>
      </c>
      <c r="E16" s="165"/>
      <c r="F16" s="165"/>
      <c r="G16" s="165"/>
      <c r="H16" s="85" t="s">
        <v>243</v>
      </c>
      <c r="I16" s="44"/>
      <c r="K16" s="23">
        <f>VLOOKUP(H16,AnswersES17[#All],2,FALSE)</f>
        <v>0</v>
      </c>
      <c r="M16" s="24"/>
      <c r="N16" s="25"/>
      <c r="O16" s="24">
        <v>1</v>
      </c>
      <c r="P16" s="25" t="b">
        <f>$K16&gt;=O16</f>
        <v>0</v>
      </c>
      <c r="Q16" s="24">
        <v>2</v>
      </c>
      <c r="R16" s="25" t="b">
        <f>$K16&gt;=Q16</f>
        <v>0</v>
      </c>
    </row>
    <row r="17" spans="2:18" ht="20" customHeight="1" collapsed="1" thickBot="1" x14ac:dyDescent="0.5">
      <c r="B17" s="111"/>
      <c r="C17" s="83" t="s">
        <v>500</v>
      </c>
      <c r="D17" s="32"/>
      <c r="E17" s="32"/>
      <c r="F17" s="191" t="s">
        <v>491</v>
      </c>
      <c r="G17" s="192"/>
      <c r="H17" s="84" t="str">
        <f>IF(OR(H13="",H14="",H15="",H16=""),"Answer all questions",IF(R17,VLOOKUP(3,PerfLevels[#All],2,FALSE),IF(P17,VLOOKUP(2,PerfLevels[#All],2,FALSE),IF(N17,VLOOKUP(1,PerfLevels[#All],2,FALSE),VLOOKUP(0,PerfLevels[#All],2,FALSE)))))</f>
        <v>Практика отсутствует</v>
      </c>
      <c r="I17" s="44"/>
      <c r="M17" s="27" t="s">
        <v>24</v>
      </c>
      <c r="N17" s="28" t="b">
        <f>AND(N13:N14)</f>
        <v>0</v>
      </c>
      <c r="O17" s="27" t="s">
        <v>24</v>
      </c>
      <c r="P17" s="28" t="b">
        <f>AND(P13:P14,OR(P15:P16))</f>
        <v>0</v>
      </c>
      <c r="Q17" s="27" t="s">
        <v>24</v>
      </c>
      <c r="R17" s="28" t="b">
        <f>AND(R13:R14,OR(R15:R16))</f>
        <v>0</v>
      </c>
    </row>
    <row r="18" spans="2:18" ht="10.050000000000001" customHeight="1" x14ac:dyDescent="0.45">
      <c r="B18" s="111"/>
      <c r="C18" s="44"/>
      <c r="D18" s="46"/>
      <c r="E18" s="46"/>
      <c r="F18" s="46"/>
      <c r="G18" s="46"/>
      <c r="H18" s="47"/>
      <c r="I18" s="44"/>
      <c r="M18" s="27" t="s">
        <v>26</v>
      </c>
      <c r="N18" s="29">
        <f>(VLOOKUP(1,PerfLevels[#All],3,FALSE)-$M$4)/2</f>
        <v>3.5</v>
      </c>
      <c r="O18" s="27" t="s">
        <v>26</v>
      </c>
      <c r="P18" s="29">
        <f>(VLOOKUP(2,PerfLevels[#All],3,FALSE)-$M$4)/2</f>
        <v>7</v>
      </c>
      <c r="Q18" s="27" t="s">
        <v>26</v>
      </c>
      <c r="R18" s="29">
        <f>(VLOOKUP(3,PerfLevels[#All],3,FALSE)-$M$4)/2</f>
        <v>10.5</v>
      </c>
    </row>
    <row r="19" spans="2:18" ht="10.050000000000001" customHeight="1" thickBot="1" x14ac:dyDescent="0.5">
      <c r="B19" s="111"/>
      <c r="C19" s="44"/>
      <c r="D19" s="46"/>
      <c r="E19" s="46"/>
      <c r="F19" s="46"/>
      <c r="G19" s="46"/>
      <c r="H19" s="47"/>
      <c r="I19" s="44"/>
    </row>
    <row r="20" spans="2:18" ht="20" customHeight="1" thickBot="1" x14ac:dyDescent="0.5">
      <c r="B20" s="111"/>
      <c r="C20" s="18" t="s">
        <v>258</v>
      </c>
      <c r="D20" s="167" t="s">
        <v>673</v>
      </c>
      <c r="E20" s="167"/>
      <c r="F20" s="167"/>
      <c r="G20" s="167"/>
      <c r="H20" s="168"/>
      <c r="I20" s="44"/>
      <c r="M20" s="34" t="s">
        <v>56</v>
      </c>
      <c r="N20" s="133">
        <f>IF(R11,R12,IF(P11,P12,IF(N11,N12,0)))+IF(R17,R18,IF(P17,P18,IF(N17,N18,0)))</f>
        <v>0</v>
      </c>
      <c r="O20" s="108"/>
      <c r="P20" s="108"/>
      <c r="Q20" s="108"/>
      <c r="R20" s="108"/>
    </row>
    <row r="21" spans="2:18" ht="41" customHeight="1" x14ac:dyDescent="0.45">
      <c r="B21" s="111"/>
      <c r="C21" s="19" t="s">
        <v>465</v>
      </c>
      <c r="D21" s="169" t="s">
        <v>715</v>
      </c>
      <c r="E21" s="169"/>
      <c r="F21" s="169"/>
      <c r="G21" s="170"/>
      <c r="H21" s="171"/>
      <c r="I21" s="44"/>
    </row>
    <row r="22" spans="2:18" ht="70.05" customHeight="1" x14ac:dyDescent="0.45">
      <c r="B22" s="111"/>
      <c r="C22" s="19" t="s">
        <v>466</v>
      </c>
      <c r="D22" s="162" t="s">
        <v>810</v>
      </c>
      <c r="E22" s="162"/>
      <c r="F22" s="162"/>
      <c r="G22" s="163"/>
      <c r="H22" s="164"/>
      <c r="I22" s="44"/>
    </row>
    <row r="23" spans="2:18" ht="28.5" customHeight="1" x14ac:dyDescent="0.45">
      <c r="B23" s="111"/>
      <c r="C23" s="172" t="s">
        <v>267</v>
      </c>
      <c r="D23" s="173"/>
      <c r="E23" s="173"/>
      <c r="F23" s="173"/>
      <c r="G23" s="173"/>
      <c r="H23" s="20" t="s">
        <v>259</v>
      </c>
      <c r="I23" s="44"/>
      <c r="M23" s="159" t="s">
        <v>20</v>
      </c>
      <c r="N23" s="159"/>
      <c r="O23" s="159"/>
      <c r="P23" s="159"/>
      <c r="Q23" s="159"/>
      <c r="R23" s="159"/>
    </row>
    <row r="24" spans="2:18" ht="20" customHeight="1" x14ac:dyDescent="0.45">
      <c r="B24" s="111"/>
      <c r="C24" s="186" t="s">
        <v>727</v>
      </c>
      <c r="D24" s="187"/>
      <c r="E24" s="187"/>
      <c r="F24" s="187"/>
      <c r="G24" s="187"/>
      <c r="H24" s="188"/>
      <c r="I24" s="44"/>
      <c r="K24" s="48" t="s">
        <v>31</v>
      </c>
      <c r="M24" s="160" t="s">
        <v>118</v>
      </c>
      <c r="N24" s="160"/>
      <c r="O24" s="160" t="s">
        <v>119</v>
      </c>
      <c r="P24" s="160"/>
      <c r="Q24" s="160" t="s">
        <v>120</v>
      </c>
      <c r="R24" s="160"/>
    </row>
    <row r="25" spans="2:18" ht="33" customHeight="1" x14ac:dyDescent="0.45">
      <c r="B25" s="111"/>
      <c r="C25" s="22" t="s">
        <v>167</v>
      </c>
      <c r="D25" s="165" t="s">
        <v>675</v>
      </c>
      <c r="E25" s="165"/>
      <c r="F25" s="165"/>
      <c r="G25" s="165"/>
      <c r="H25" s="79" t="s">
        <v>243</v>
      </c>
      <c r="I25" s="44"/>
      <c r="K25" s="23">
        <f>VLOOKUP(H25,AnswersES21[#All],2,FALSE)</f>
        <v>0</v>
      </c>
      <c r="M25" s="24">
        <v>1</v>
      </c>
      <c r="N25" s="25" t="b">
        <f>$K25&gt;=M25</f>
        <v>0</v>
      </c>
      <c r="O25" s="24">
        <v>2</v>
      </c>
      <c r="P25" s="25" t="b">
        <f>$K25&gt;=O25</f>
        <v>0</v>
      </c>
      <c r="Q25" s="24">
        <v>2</v>
      </c>
      <c r="R25" s="25" t="b">
        <f>$K25&gt;=Q25</f>
        <v>0</v>
      </c>
    </row>
    <row r="26" spans="2:18" ht="54.5" customHeight="1" collapsed="1" x14ac:dyDescent="0.45">
      <c r="B26" s="111"/>
      <c r="C26" s="26" t="s">
        <v>58</v>
      </c>
      <c r="D26" s="166" t="s">
        <v>676</v>
      </c>
      <c r="E26" s="166"/>
      <c r="F26" s="166"/>
      <c r="G26" s="166"/>
      <c r="H26" s="82" t="s">
        <v>243</v>
      </c>
      <c r="I26" s="44"/>
      <c r="K26" s="23">
        <f>VLOOKUP(H26,AnswersES22[#All],2,FALSE)</f>
        <v>0</v>
      </c>
      <c r="M26" s="24"/>
      <c r="N26" s="25"/>
      <c r="O26" s="24">
        <v>1</v>
      </c>
      <c r="P26" s="25" t="b">
        <f>$K26&gt;=O26</f>
        <v>0</v>
      </c>
      <c r="Q26" s="24">
        <v>2</v>
      </c>
      <c r="R26" s="25" t="b">
        <f>$K26&gt;=Q26</f>
        <v>0</v>
      </c>
    </row>
    <row r="27" spans="2:18" ht="50" customHeight="1" collapsed="1" x14ac:dyDescent="0.45">
      <c r="B27" s="111"/>
      <c r="C27" s="22" t="s">
        <v>129</v>
      </c>
      <c r="D27" s="165" t="s">
        <v>677</v>
      </c>
      <c r="E27" s="165"/>
      <c r="F27" s="165"/>
      <c r="G27" s="165"/>
      <c r="H27" s="79" t="s">
        <v>243</v>
      </c>
      <c r="I27" s="44"/>
      <c r="K27" s="23">
        <f>VLOOKUP(H27,AnswersES23[#All],2,FALSE)</f>
        <v>0</v>
      </c>
      <c r="M27" s="24"/>
      <c r="N27" s="25"/>
      <c r="O27" s="24">
        <v>1</v>
      </c>
      <c r="P27" s="25" t="b">
        <f>$K27&gt;=O27</f>
        <v>0</v>
      </c>
      <c r="Q27" s="24">
        <v>2</v>
      </c>
      <c r="R27" s="25" t="b">
        <f>$K27&gt;=Q27</f>
        <v>0</v>
      </c>
    </row>
    <row r="28" spans="2:18" ht="20" customHeight="1" collapsed="1" x14ac:dyDescent="0.45">
      <c r="B28" s="111"/>
      <c r="C28" s="30" t="s">
        <v>500</v>
      </c>
      <c r="D28" s="49"/>
      <c r="E28" s="49"/>
      <c r="F28" s="189" t="s">
        <v>490</v>
      </c>
      <c r="G28" s="190"/>
      <c r="H28" s="31" t="str">
        <f>IF(OR(H25="",H26="",H27=""),"Answer all questions",IF(R28,VLOOKUP(3,PerfLevels[#All],2,FALSE),IF(P28,VLOOKUP(2,PerfLevels[#All],2,FALSE),IF(N28,VLOOKUP(1,PerfLevels[#All],2,FALSE),VLOOKUP(0,PerfLevels[#All],2,FALSE)))))</f>
        <v>Практика отсутствует</v>
      </c>
      <c r="I28" s="44"/>
      <c r="M28" s="27" t="s">
        <v>24</v>
      </c>
      <c r="N28" s="28" t="b">
        <f>AND(N25)</f>
        <v>0</v>
      </c>
      <c r="O28" s="27" t="s">
        <v>24</v>
      </c>
      <c r="P28" s="28" t="b">
        <f>AND(P25,OR(P26:P27))</f>
        <v>0</v>
      </c>
      <c r="Q28" s="27" t="s">
        <v>24</v>
      </c>
      <c r="R28" s="28" t="b">
        <f>AND(R25,OR(R26:R27))</f>
        <v>0</v>
      </c>
    </row>
    <row r="29" spans="2:18" ht="20" customHeight="1" x14ac:dyDescent="0.45">
      <c r="B29" s="111"/>
      <c r="C29" s="186" t="s">
        <v>728</v>
      </c>
      <c r="D29" s="187"/>
      <c r="E29" s="187"/>
      <c r="F29" s="187"/>
      <c r="G29" s="187"/>
      <c r="H29" s="188"/>
      <c r="I29" s="44"/>
      <c r="M29" s="27" t="s">
        <v>26</v>
      </c>
      <c r="N29" s="91">
        <f>(VLOOKUP(1,PerfLevels[#All],3,FALSE)-$M$4)/3</f>
        <v>2.3333333333333335</v>
      </c>
      <c r="O29" s="27" t="s">
        <v>26</v>
      </c>
      <c r="P29" s="91">
        <f>(VLOOKUP(2,PerfLevels[#All],3,FALSE)-$M$4)/3</f>
        <v>4.666666666666667</v>
      </c>
      <c r="Q29" s="27" t="s">
        <v>26</v>
      </c>
      <c r="R29" s="29">
        <f>(VLOOKUP(3,PerfLevels[#All],3,FALSE)-$M$4)/3</f>
        <v>7</v>
      </c>
    </row>
    <row r="30" spans="2:18" ht="60" customHeight="1" x14ac:dyDescent="0.45">
      <c r="B30" s="111"/>
      <c r="C30" s="26" t="s">
        <v>168</v>
      </c>
      <c r="D30" s="166" t="s">
        <v>678</v>
      </c>
      <c r="E30" s="166"/>
      <c r="F30" s="166"/>
      <c r="G30" s="166"/>
      <c r="H30" s="82" t="s">
        <v>243</v>
      </c>
      <c r="I30" s="44"/>
      <c r="K30" s="23">
        <f>VLOOKUP(H30,AnswersES24[#All],2,FALSE)</f>
        <v>0</v>
      </c>
      <c r="M30" s="24">
        <v>1</v>
      </c>
      <c r="N30" s="25" t="b">
        <f>$K30&gt;=M30</f>
        <v>0</v>
      </c>
      <c r="O30" s="24">
        <v>2</v>
      </c>
      <c r="P30" s="25" t="b">
        <f>$K30&gt;=O30</f>
        <v>0</v>
      </c>
      <c r="Q30" s="24">
        <v>2</v>
      </c>
      <c r="R30" s="25" t="b">
        <f>$K30&gt;=Q30</f>
        <v>0</v>
      </c>
    </row>
    <row r="31" spans="2:18" ht="40.049999999999997" customHeight="1" collapsed="1" x14ac:dyDescent="0.45">
      <c r="B31" s="111"/>
      <c r="C31" s="22" t="s">
        <v>60</v>
      </c>
      <c r="D31" s="165" t="s">
        <v>679</v>
      </c>
      <c r="E31" s="165"/>
      <c r="F31" s="165"/>
      <c r="G31" s="165"/>
      <c r="H31" s="85" t="s">
        <v>243</v>
      </c>
      <c r="I31" s="44"/>
      <c r="K31" s="23">
        <f>VLOOKUP(H31,AnswersES25[#All],2,FALSE)</f>
        <v>0</v>
      </c>
      <c r="M31" s="24"/>
      <c r="N31" s="25"/>
      <c r="O31" s="24">
        <v>1</v>
      </c>
      <c r="P31" s="25" t="b">
        <f>$K31&gt;=O31</f>
        <v>0</v>
      </c>
      <c r="Q31" s="24">
        <v>2</v>
      </c>
      <c r="R31" s="25" t="b">
        <f>$K31&gt;=Q31</f>
        <v>0</v>
      </c>
    </row>
    <row r="32" spans="2:18" ht="45.5" customHeight="1" collapsed="1" x14ac:dyDescent="0.45">
      <c r="B32" s="111"/>
      <c r="C32" s="26" t="s">
        <v>80</v>
      </c>
      <c r="D32" s="166" t="s">
        <v>680</v>
      </c>
      <c r="E32" s="166"/>
      <c r="F32" s="166"/>
      <c r="G32" s="166"/>
      <c r="H32" s="86" t="s">
        <v>243</v>
      </c>
      <c r="I32" s="44"/>
      <c r="K32" s="23">
        <f>VLOOKUP(H32,AnswersES26[#All],2,FALSE)</f>
        <v>0</v>
      </c>
      <c r="L32" s="50"/>
      <c r="M32" s="24"/>
      <c r="N32" s="25"/>
      <c r="O32" s="24">
        <v>1</v>
      </c>
      <c r="P32" s="25" t="b">
        <f>$K32&gt;=O32</f>
        <v>0</v>
      </c>
      <c r="Q32" s="24">
        <v>2</v>
      </c>
      <c r="R32" s="25" t="b">
        <f>$K32&gt;=Q32</f>
        <v>0</v>
      </c>
    </row>
    <row r="33" spans="2:18" ht="20.55" customHeight="1" collapsed="1" x14ac:dyDescent="0.45">
      <c r="B33" s="111"/>
      <c r="C33" s="30" t="s">
        <v>500</v>
      </c>
      <c r="D33" s="49"/>
      <c r="E33" s="189" t="s">
        <v>489</v>
      </c>
      <c r="F33" s="196"/>
      <c r="G33" s="190"/>
      <c r="H33" s="31" t="str">
        <f>IF(OR(H30="",H31="",H32=""),"Answer all questions",IF(R33,VLOOKUP(3,PerfLevels[#All],2,FALSE),IF(P33,VLOOKUP(2,PerfLevels[#All],2,FALSE),IF(N33,VLOOKUP(1,PerfLevels[#All],2,FALSE),VLOOKUP(0,PerfLevels[#All],2,FALSE)))))</f>
        <v>Практика отсутствует</v>
      </c>
      <c r="I33" s="44"/>
      <c r="M33" s="27" t="s">
        <v>24</v>
      </c>
      <c r="N33" s="28" t="b">
        <f>AND(N30)</f>
        <v>0</v>
      </c>
      <c r="O33" s="27" t="s">
        <v>24</v>
      </c>
      <c r="P33" s="28" t="b">
        <f>AND(P30,OR(P31:P32))</f>
        <v>0</v>
      </c>
      <c r="Q33" s="27" t="s">
        <v>24</v>
      </c>
      <c r="R33" s="28" t="b">
        <f>AND(R30,OR(R31:R32))</f>
        <v>0</v>
      </c>
    </row>
    <row r="34" spans="2:18" ht="20" customHeight="1" x14ac:dyDescent="0.45">
      <c r="B34" s="111"/>
      <c r="C34" s="186" t="s">
        <v>729</v>
      </c>
      <c r="D34" s="187"/>
      <c r="E34" s="187"/>
      <c r="F34" s="187"/>
      <c r="G34" s="187"/>
      <c r="H34" s="188"/>
      <c r="I34" s="44"/>
      <c r="L34" s="50"/>
      <c r="M34" s="27" t="s">
        <v>26</v>
      </c>
      <c r="N34" s="91">
        <f>(VLOOKUP(1,PerfLevels[#All],3,FALSE)-$M$4)/3</f>
        <v>2.3333333333333335</v>
      </c>
      <c r="O34" s="27" t="s">
        <v>26</v>
      </c>
      <c r="P34" s="91">
        <f>(VLOOKUP(2,PerfLevels[#All],3,FALSE)-$M$4)/3</f>
        <v>4.666666666666667</v>
      </c>
      <c r="Q34" s="27" t="s">
        <v>26</v>
      </c>
      <c r="R34" s="29">
        <f>(VLOOKUP(3,PerfLevels[#All],3,FALSE)-$M$4)/3</f>
        <v>7</v>
      </c>
    </row>
    <row r="35" spans="2:18" ht="27" customHeight="1" x14ac:dyDescent="0.45">
      <c r="B35" s="111"/>
      <c r="C35" s="22" t="s">
        <v>81</v>
      </c>
      <c r="D35" s="165" t="s">
        <v>681</v>
      </c>
      <c r="E35" s="165"/>
      <c r="F35" s="165"/>
      <c r="G35" s="165"/>
      <c r="H35" s="85" t="s">
        <v>243</v>
      </c>
      <c r="I35" s="44"/>
      <c r="K35" s="23">
        <f>VLOOKUP(H35,AnswersNA[#All],2,FALSE)</f>
        <v>0</v>
      </c>
      <c r="M35" s="24">
        <v>1</v>
      </c>
      <c r="N35" s="25" t="b">
        <f>$K35=M35</f>
        <v>0</v>
      </c>
      <c r="O35" s="24">
        <v>1</v>
      </c>
      <c r="P35" s="25" t="b">
        <f>$K35=O35</f>
        <v>0</v>
      </c>
      <c r="Q35" s="24">
        <v>1</v>
      </c>
      <c r="R35" s="25" t="b">
        <f>$K35=Q35</f>
        <v>0</v>
      </c>
    </row>
    <row r="36" spans="2:18" ht="40.049999999999997" customHeight="1" collapsed="1" x14ac:dyDescent="0.45">
      <c r="B36" s="111"/>
      <c r="C36" s="26" t="s">
        <v>130</v>
      </c>
      <c r="D36" s="166" t="s">
        <v>682</v>
      </c>
      <c r="E36" s="166"/>
      <c r="F36" s="166"/>
      <c r="G36" s="166"/>
      <c r="H36" s="82" t="s">
        <v>243</v>
      </c>
      <c r="I36" s="44"/>
      <c r="K36" s="23">
        <f>VLOOKUP(H36,AnswersES28[#All],2,FALSE)</f>
        <v>0</v>
      </c>
      <c r="M36" s="24"/>
      <c r="N36" s="25"/>
      <c r="O36" s="24">
        <v>1</v>
      </c>
      <c r="P36" s="25" t="b">
        <f>$K36&gt;=O36</f>
        <v>0</v>
      </c>
      <c r="Q36" s="24">
        <v>2</v>
      </c>
      <c r="R36" s="25" t="b">
        <f>$K36&gt;=Q36</f>
        <v>0</v>
      </c>
    </row>
    <row r="37" spans="2:18" ht="20.55" customHeight="1" collapsed="1" thickBot="1" x14ac:dyDescent="0.5">
      <c r="B37" s="111"/>
      <c r="C37" s="83"/>
      <c r="D37" s="32"/>
      <c r="E37" s="32"/>
      <c r="F37" s="197" t="s">
        <v>488</v>
      </c>
      <c r="G37" s="198"/>
      <c r="H37" s="84" t="str">
        <f>IF(OR(H35="",H36=""),"Answer all questions",IF(R37,VLOOKUP(3,PerfLevels[#All],2,FALSE),IF(P37,VLOOKUP(2,PerfLevels[#All],2,FALSE),IF(N37,VLOOKUP(1,PerfLevels[#All],2,FALSE),VLOOKUP(0,PerfLevels[#All],2,FALSE)))))</f>
        <v>Практика отсутствует</v>
      </c>
      <c r="I37" s="44"/>
      <c r="M37" s="27" t="s">
        <v>24</v>
      </c>
      <c r="N37" s="28" t="b">
        <f>AND(N35)</f>
        <v>0</v>
      </c>
      <c r="O37" s="27" t="s">
        <v>24</v>
      </c>
      <c r="P37" s="28" t="b">
        <f>AND(P35:P36)</f>
        <v>0</v>
      </c>
      <c r="Q37" s="27" t="s">
        <v>24</v>
      </c>
      <c r="R37" s="28" t="b">
        <f>AND(R35:R36)</f>
        <v>0</v>
      </c>
    </row>
    <row r="38" spans="2:18" ht="10.050000000000001" customHeight="1" x14ac:dyDescent="0.45">
      <c r="B38" s="111"/>
      <c r="C38" s="44"/>
      <c r="D38" s="46"/>
      <c r="E38" s="46"/>
      <c r="F38" s="46"/>
      <c r="G38" s="46"/>
      <c r="H38" s="47"/>
      <c r="I38" s="44"/>
      <c r="M38" s="27" t="s">
        <v>26</v>
      </c>
      <c r="N38" s="91">
        <f>(VLOOKUP(1,PerfLevels[#All],3,FALSE)-$M$4)/3</f>
        <v>2.3333333333333335</v>
      </c>
      <c r="O38" s="27" t="s">
        <v>26</v>
      </c>
      <c r="P38" s="91">
        <f>(VLOOKUP(2,PerfLevels[#All],3,FALSE)-$M$4)/3</f>
        <v>4.666666666666667</v>
      </c>
      <c r="Q38" s="27" t="s">
        <v>26</v>
      </c>
      <c r="R38" s="29">
        <f>(VLOOKUP(3,PerfLevels[#All],3,FALSE)-$M$4)/3</f>
        <v>7</v>
      </c>
    </row>
    <row r="39" spans="2:18" ht="10.050000000000001" customHeight="1" thickBot="1" x14ac:dyDescent="0.5">
      <c r="B39" s="111"/>
      <c r="C39" s="44"/>
      <c r="D39" s="46"/>
      <c r="E39" s="46"/>
      <c r="F39" s="46"/>
      <c r="G39" s="46"/>
      <c r="H39" s="47"/>
      <c r="I39" s="44"/>
      <c r="O39" s="51"/>
      <c r="P39" s="51"/>
      <c r="Q39" s="51"/>
      <c r="R39" s="51"/>
    </row>
    <row r="40" spans="2:18" ht="20" customHeight="1" thickBot="1" x14ac:dyDescent="0.5">
      <c r="B40" s="111"/>
      <c r="C40" s="18" t="s">
        <v>258</v>
      </c>
      <c r="D40" s="167" t="s">
        <v>683</v>
      </c>
      <c r="E40" s="167"/>
      <c r="F40" s="167"/>
      <c r="G40" s="167"/>
      <c r="H40" s="168"/>
      <c r="I40" s="44"/>
      <c r="M40" s="34" t="s">
        <v>61</v>
      </c>
      <c r="N40" s="134">
        <f>IF(R28,R29,IF(P28,P29,IF(N28,N29,0)))+IF(R33,R34,IF(P33,P34,IF(N33,N34,0)))+IF(R37,R38,IF(P37,P38,IF(N37,N38,0)))</f>
        <v>0</v>
      </c>
    </row>
    <row r="41" spans="2:18" ht="20" customHeight="1" x14ac:dyDescent="0.45">
      <c r="B41" s="111"/>
      <c r="C41" s="19" t="s">
        <v>465</v>
      </c>
      <c r="D41" s="169" t="s">
        <v>716</v>
      </c>
      <c r="E41" s="169"/>
      <c r="F41" s="169"/>
      <c r="G41" s="170"/>
      <c r="H41" s="171"/>
      <c r="I41" s="44"/>
      <c r="M41" s="108"/>
      <c r="N41" s="108"/>
      <c r="O41" s="108"/>
      <c r="P41" s="108"/>
      <c r="Q41" s="108"/>
      <c r="R41" s="108"/>
    </row>
    <row r="42" spans="2:18" ht="71" customHeight="1" x14ac:dyDescent="0.45">
      <c r="B42" s="111"/>
      <c r="C42" s="19" t="s">
        <v>466</v>
      </c>
      <c r="D42" s="162" t="s">
        <v>717</v>
      </c>
      <c r="E42" s="162"/>
      <c r="F42" s="162"/>
      <c r="G42" s="163"/>
      <c r="H42" s="164"/>
      <c r="I42" s="44"/>
      <c r="M42" s="159" t="s">
        <v>20</v>
      </c>
      <c r="N42" s="159"/>
      <c r="O42" s="159"/>
      <c r="P42" s="159"/>
      <c r="Q42" s="159"/>
      <c r="R42" s="159"/>
    </row>
    <row r="43" spans="2:18" ht="28.5" customHeight="1" x14ac:dyDescent="0.45">
      <c r="B43" s="111"/>
      <c r="C43" s="172" t="s">
        <v>267</v>
      </c>
      <c r="D43" s="173"/>
      <c r="E43" s="173"/>
      <c r="F43" s="173"/>
      <c r="G43" s="173"/>
      <c r="H43" s="20" t="s">
        <v>259</v>
      </c>
      <c r="I43" s="44"/>
      <c r="K43" s="21" t="s">
        <v>31</v>
      </c>
      <c r="M43" s="160" t="s">
        <v>118</v>
      </c>
      <c r="N43" s="160"/>
      <c r="O43" s="160" t="s">
        <v>119</v>
      </c>
      <c r="P43" s="160"/>
      <c r="Q43" s="160" t="s">
        <v>120</v>
      </c>
      <c r="R43" s="160"/>
    </row>
    <row r="44" spans="2:18" ht="30.5" customHeight="1" x14ac:dyDescent="0.45">
      <c r="B44" s="111"/>
      <c r="C44" s="22" t="s">
        <v>169</v>
      </c>
      <c r="D44" s="165" t="s">
        <v>685</v>
      </c>
      <c r="E44" s="165"/>
      <c r="F44" s="165"/>
      <c r="G44" s="165"/>
      <c r="H44" s="79" t="s">
        <v>243</v>
      </c>
      <c r="I44" s="44"/>
      <c r="K44" s="23">
        <f>VLOOKUP(H44,AnswersNA[#All],2,FALSE)</f>
        <v>0</v>
      </c>
      <c r="M44" s="24">
        <v>1</v>
      </c>
      <c r="N44" s="25" t="b">
        <f>$K44=M44</f>
        <v>0</v>
      </c>
      <c r="O44" s="24">
        <v>1</v>
      </c>
      <c r="P44" s="25" t="b">
        <f>$K44=O44</f>
        <v>0</v>
      </c>
      <c r="Q44" s="24">
        <v>1</v>
      </c>
      <c r="R44" s="25" t="b">
        <f>$K44=Q44</f>
        <v>0</v>
      </c>
    </row>
    <row r="45" spans="2:18" ht="60" customHeight="1" collapsed="1" x14ac:dyDescent="0.45">
      <c r="B45" s="111"/>
      <c r="C45" s="26" t="s">
        <v>170</v>
      </c>
      <c r="D45" s="166" t="s">
        <v>686</v>
      </c>
      <c r="E45" s="166"/>
      <c r="F45" s="166"/>
      <c r="G45" s="166"/>
      <c r="H45" s="86" t="s">
        <v>243</v>
      </c>
      <c r="I45" s="44"/>
      <c r="K45" s="23">
        <f>VLOOKUP(H45,AnswersNA[#All],2,FALSE)</f>
        <v>0</v>
      </c>
      <c r="M45" s="24">
        <v>1</v>
      </c>
      <c r="N45" s="25" t="b">
        <f>$K45=M45</f>
        <v>0</v>
      </c>
      <c r="O45" s="24">
        <v>1</v>
      </c>
      <c r="P45" s="25" t="b">
        <f>$K45=O45</f>
        <v>0</v>
      </c>
      <c r="Q45" s="24">
        <v>1</v>
      </c>
      <c r="R45" s="25" t="b">
        <f>$K45=Q45</f>
        <v>0</v>
      </c>
    </row>
    <row r="46" spans="2:18" ht="49.05" customHeight="1" collapsed="1" x14ac:dyDescent="0.45">
      <c r="B46" s="111"/>
      <c r="C46" s="22" t="s">
        <v>63</v>
      </c>
      <c r="D46" s="165" t="s">
        <v>687</v>
      </c>
      <c r="E46" s="165"/>
      <c r="F46" s="165"/>
      <c r="G46" s="165"/>
      <c r="H46" s="85" t="s">
        <v>243</v>
      </c>
      <c r="I46" s="44"/>
      <c r="K46" s="23">
        <f>VLOOKUP(H46,AnswersES33[#All],2,FALSE)</f>
        <v>0</v>
      </c>
      <c r="M46" s="24"/>
      <c r="N46" s="25"/>
      <c r="O46" s="24">
        <v>1</v>
      </c>
      <c r="P46" s="25" t="b">
        <f>$K46&gt;=O46</f>
        <v>0</v>
      </c>
      <c r="Q46" s="24">
        <v>2</v>
      </c>
      <c r="R46" s="25" t="b">
        <f>$K46&gt;=Q46</f>
        <v>0</v>
      </c>
    </row>
    <row r="47" spans="2:18" ht="30.5" customHeight="1" collapsed="1" x14ac:dyDescent="0.45">
      <c r="B47" s="111"/>
      <c r="C47" s="26" t="s">
        <v>64</v>
      </c>
      <c r="D47" s="166" t="s">
        <v>688</v>
      </c>
      <c r="E47" s="166"/>
      <c r="F47" s="166"/>
      <c r="G47" s="166"/>
      <c r="H47" s="86" t="s">
        <v>243</v>
      </c>
      <c r="I47" s="44"/>
      <c r="K47" s="23">
        <f>VLOOKUP(H47,AnswersGen[#All],2,FALSE)</f>
        <v>0</v>
      </c>
      <c r="M47" s="24"/>
      <c r="N47" s="25"/>
      <c r="O47" s="24"/>
      <c r="P47" s="25"/>
      <c r="Q47" s="24">
        <v>1</v>
      </c>
      <c r="R47" s="25" t="b">
        <f>$K47=Q47</f>
        <v>0</v>
      </c>
    </row>
    <row r="48" spans="2:18" ht="23.65" thickBot="1" x14ac:dyDescent="0.5">
      <c r="B48" s="111"/>
      <c r="C48" s="83" t="s">
        <v>500</v>
      </c>
      <c r="D48" s="32"/>
      <c r="E48" s="32"/>
      <c r="F48" s="32"/>
      <c r="G48" s="33" t="s">
        <v>487</v>
      </c>
      <c r="H48" s="84" t="str">
        <f>IF(OR(H44="",H45="",H46="",H47=""),"Answer all questions",IF(R48,VLOOKUP(3,PerfLevels[#All],2,FALSE),IF(P48,VLOOKUP(2,PerfLevels[#All],2,FALSE),IF(N48,VLOOKUP(1,PerfLevels[#All],2,FALSE),VLOOKUP(0,PerfLevels[#All],2,FALSE)))))</f>
        <v>Практика отсутствует</v>
      </c>
      <c r="I48" s="44"/>
      <c r="M48" s="27" t="s">
        <v>24</v>
      </c>
      <c r="N48" s="28" t="b">
        <f>AND(N44:N45)</f>
        <v>0</v>
      </c>
      <c r="O48" s="27" t="s">
        <v>24</v>
      </c>
      <c r="P48" s="28" t="b">
        <f>AND(P44:P46)</f>
        <v>0</v>
      </c>
      <c r="Q48" s="27" t="s">
        <v>24</v>
      </c>
      <c r="R48" s="28" t="b">
        <f>AND(R44:R47)</f>
        <v>0</v>
      </c>
    </row>
    <row r="49" spans="2:18" ht="10.050000000000001" customHeight="1" x14ac:dyDescent="0.45">
      <c r="B49" s="111"/>
      <c r="C49" s="44"/>
      <c r="D49" s="46"/>
      <c r="E49" s="46"/>
      <c r="F49" s="46"/>
      <c r="G49" s="46"/>
      <c r="H49" s="47"/>
      <c r="I49" s="44"/>
      <c r="M49" s="27" t="s">
        <v>26</v>
      </c>
      <c r="N49" s="29">
        <f>VLOOKUP(1,PerfLevels[#All],3,FALSE)-$M$4</f>
        <v>7</v>
      </c>
      <c r="O49" s="27" t="s">
        <v>26</v>
      </c>
      <c r="P49" s="29">
        <f>VLOOKUP(2,PerfLevels[#All],3,FALSE)-$M$4</f>
        <v>14</v>
      </c>
      <c r="Q49" s="27" t="s">
        <v>26</v>
      </c>
      <c r="R49" s="29">
        <f>VLOOKUP(3,PerfLevels[#All],3,FALSE)-$M$4</f>
        <v>21</v>
      </c>
    </row>
    <row r="50" spans="2:18" ht="10.050000000000001" customHeight="1" thickBot="1" x14ac:dyDescent="0.5">
      <c r="B50" s="111"/>
      <c r="C50" s="44"/>
      <c r="D50" s="46"/>
      <c r="E50" s="46"/>
      <c r="F50" s="46"/>
      <c r="G50" s="46"/>
      <c r="H50" s="47"/>
      <c r="I50" s="44"/>
    </row>
    <row r="51" spans="2:18" ht="23.65" thickBot="1" x14ac:dyDescent="0.5">
      <c r="B51" s="111"/>
      <c r="C51" s="18" t="s">
        <v>258</v>
      </c>
      <c r="D51" s="167" t="s">
        <v>689</v>
      </c>
      <c r="E51" s="167"/>
      <c r="F51" s="167"/>
      <c r="G51" s="167"/>
      <c r="H51" s="168"/>
      <c r="I51" s="44"/>
      <c r="M51" s="34" t="s">
        <v>241</v>
      </c>
      <c r="N51" s="133">
        <f>IF(R48,R49,IF(P48,P49,IF(N48,N49,0)))</f>
        <v>0</v>
      </c>
    </row>
    <row r="52" spans="2:18" ht="23.25" x14ac:dyDescent="0.45">
      <c r="B52" s="111"/>
      <c r="C52" s="19" t="s">
        <v>465</v>
      </c>
      <c r="D52" s="169" t="s">
        <v>718</v>
      </c>
      <c r="E52" s="170"/>
      <c r="F52" s="170"/>
      <c r="G52" s="170"/>
      <c r="H52" s="171"/>
      <c r="I52" s="44"/>
      <c r="M52" s="37"/>
      <c r="N52" s="37"/>
      <c r="O52" s="37"/>
      <c r="P52" s="37"/>
      <c r="Q52" s="37"/>
      <c r="R52" s="37"/>
    </row>
    <row r="53" spans="2:18" ht="60.5" customHeight="1" x14ac:dyDescent="0.45">
      <c r="B53" s="111"/>
      <c r="C53" s="19" t="s">
        <v>466</v>
      </c>
      <c r="D53" s="162" t="s">
        <v>719</v>
      </c>
      <c r="E53" s="162"/>
      <c r="F53" s="162"/>
      <c r="G53" s="163"/>
      <c r="H53" s="164"/>
      <c r="I53" s="44"/>
      <c r="M53" s="159" t="s">
        <v>20</v>
      </c>
      <c r="N53" s="159"/>
      <c r="O53" s="159"/>
      <c r="P53" s="159"/>
      <c r="Q53" s="159"/>
      <c r="R53" s="159"/>
    </row>
    <row r="54" spans="2:18" ht="28.5" customHeight="1" x14ac:dyDescent="0.45">
      <c r="B54" s="111"/>
      <c r="C54" s="172" t="s">
        <v>267</v>
      </c>
      <c r="D54" s="173"/>
      <c r="E54" s="173"/>
      <c r="F54" s="173"/>
      <c r="G54" s="173"/>
      <c r="H54" s="20" t="s">
        <v>259</v>
      </c>
      <c r="I54" s="44"/>
      <c r="K54" s="21" t="s">
        <v>31</v>
      </c>
      <c r="M54" s="160" t="s">
        <v>118</v>
      </c>
      <c r="N54" s="160"/>
      <c r="O54" s="160" t="s">
        <v>119</v>
      </c>
      <c r="P54" s="160"/>
      <c r="Q54" s="160" t="s">
        <v>120</v>
      </c>
      <c r="R54" s="160"/>
    </row>
    <row r="55" spans="2:18" ht="27" customHeight="1" x14ac:dyDescent="0.45">
      <c r="B55" s="111"/>
      <c r="C55" s="22" t="s">
        <v>171</v>
      </c>
      <c r="D55" s="165" t="s">
        <v>691</v>
      </c>
      <c r="E55" s="165"/>
      <c r="F55" s="165"/>
      <c r="G55" s="165"/>
      <c r="H55" s="79" t="s">
        <v>243</v>
      </c>
      <c r="I55" s="44"/>
      <c r="K55" s="23">
        <f>VLOOKUP(H55,AnswersES41[#All],2,FALSE)</f>
        <v>0</v>
      </c>
      <c r="M55" s="24">
        <v>1</v>
      </c>
      <c r="N55" s="25" t="b">
        <f>$K55&gt;=M55</f>
        <v>0</v>
      </c>
      <c r="O55" s="24">
        <v>2</v>
      </c>
      <c r="P55" s="25" t="b">
        <f>$K55&gt;=O55</f>
        <v>0</v>
      </c>
      <c r="Q55" s="24">
        <v>2</v>
      </c>
      <c r="R55" s="25" t="b">
        <f>$K55&gt;=Q55</f>
        <v>0</v>
      </c>
    </row>
    <row r="56" spans="2:18" ht="38" customHeight="1" collapsed="1" x14ac:dyDescent="0.45">
      <c r="B56" s="111"/>
      <c r="C56" s="26" t="s">
        <v>172</v>
      </c>
      <c r="D56" s="166" t="s">
        <v>692</v>
      </c>
      <c r="E56" s="166"/>
      <c r="F56" s="166"/>
      <c r="G56" s="166"/>
      <c r="H56" s="82" t="s">
        <v>243</v>
      </c>
      <c r="I56" s="44"/>
      <c r="K56" s="23">
        <f>VLOOKUP(H56,AnswersES42[#All],2,FALSE)</f>
        <v>0</v>
      </c>
      <c r="M56" s="24">
        <v>1</v>
      </c>
      <c r="N56" s="25" t="b">
        <f>$K56&gt;=M56</f>
        <v>0</v>
      </c>
      <c r="O56" s="24">
        <v>2</v>
      </c>
      <c r="P56" s="25" t="b">
        <f>$K56&gt;=O56</f>
        <v>0</v>
      </c>
      <c r="Q56" s="24">
        <v>2</v>
      </c>
      <c r="R56" s="25" t="b">
        <f>$K56&gt;=Q56</f>
        <v>0</v>
      </c>
    </row>
    <row r="57" spans="2:18" ht="38" customHeight="1" collapsed="1" x14ac:dyDescent="0.45">
      <c r="B57" s="111"/>
      <c r="C57" s="22" t="s">
        <v>133</v>
      </c>
      <c r="D57" s="165" t="s">
        <v>693</v>
      </c>
      <c r="E57" s="165"/>
      <c r="F57" s="165"/>
      <c r="G57" s="165"/>
      <c r="H57" s="85" t="s">
        <v>243</v>
      </c>
      <c r="I57" s="44"/>
      <c r="K57" s="23">
        <f>VLOOKUP(H57,AnswersGen[#All],2,FALSE)</f>
        <v>0</v>
      </c>
      <c r="M57" s="24"/>
      <c r="N57" s="25"/>
      <c r="O57" s="24"/>
      <c r="P57" s="25"/>
      <c r="Q57" s="24">
        <v>1</v>
      </c>
      <c r="R57" s="25" t="b">
        <f>$K57=Q57</f>
        <v>0</v>
      </c>
    </row>
    <row r="58" spans="2:18" ht="23.65" collapsed="1" thickBot="1" x14ac:dyDescent="0.5">
      <c r="B58" s="111"/>
      <c r="C58" s="83" t="s">
        <v>500</v>
      </c>
      <c r="D58" s="32"/>
      <c r="E58" s="32"/>
      <c r="F58" s="32"/>
      <c r="G58" s="33" t="s">
        <v>486</v>
      </c>
      <c r="H58" s="84" t="str">
        <f>IF(OR(H55="",H56="",H57=""),"Answer all questions",IF(R58,VLOOKUP(3,PerfLevels[#All],2,FALSE),IF(P58,VLOOKUP(2,PerfLevels[#All],2,FALSE),IF(N58,VLOOKUP(1,PerfLevels[#All],2,FALSE),VLOOKUP(0,PerfLevels[#All],2,FALSE)))))</f>
        <v>Практика отсутствует</v>
      </c>
      <c r="I58" s="44"/>
      <c r="M58" s="27" t="s">
        <v>24</v>
      </c>
      <c r="N58" s="28" t="b">
        <f>AND(N55:N56)</f>
        <v>0</v>
      </c>
      <c r="O58" s="27" t="s">
        <v>24</v>
      </c>
      <c r="P58" s="28" t="b">
        <f>AND(P55:P56)</f>
        <v>0</v>
      </c>
      <c r="Q58" s="27" t="s">
        <v>24</v>
      </c>
      <c r="R58" s="28" t="b">
        <f>AND(R55:R57)</f>
        <v>0</v>
      </c>
    </row>
    <row r="59" spans="2:18" ht="10.050000000000001" customHeight="1" x14ac:dyDescent="0.45">
      <c r="B59" s="111"/>
      <c r="C59" s="44"/>
      <c r="D59" s="46"/>
      <c r="E59" s="46"/>
      <c r="F59" s="46"/>
      <c r="G59" s="46"/>
      <c r="H59" s="47"/>
      <c r="I59" s="44"/>
      <c r="M59" s="27" t="s">
        <v>26</v>
      </c>
      <c r="N59" s="29">
        <f>VLOOKUP(1,PerfLevels[#All],3,FALSE)-$M$4</f>
        <v>7</v>
      </c>
      <c r="O59" s="27" t="s">
        <v>26</v>
      </c>
      <c r="P59" s="29">
        <f>VLOOKUP(2,PerfLevels[#All],3,FALSE)-$M$4</f>
        <v>14</v>
      </c>
      <c r="Q59" s="27" t="s">
        <v>26</v>
      </c>
      <c r="R59" s="29">
        <f>VLOOKUP(3,PerfLevels[#All],3,FALSE)-$M$4</f>
        <v>21</v>
      </c>
    </row>
    <row r="60" spans="2:18" ht="10.050000000000001" customHeight="1" thickBot="1" x14ac:dyDescent="0.5">
      <c r="B60" s="111"/>
      <c r="C60" s="44"/>
      <c r="D60" s="46"/>
      <c r="E60" s="46"/>
      <c r="F60" s="46"/>
      <c r="G60" s="46"/>
      <c r="H60" s="47"/>
      <c r="I60" s="44"/>
    </row>
    <row r="61" spans="2:18" ht="27" customHeight="1" thickBot="1" x14ac:dyDescent="0.5">
      <c r="B61" s="111"/>
      <c r="C61" s="18" t="s">
        <v>258</v>
      </c>
      <c r="D61" s="167" t="s">
        <v>694</v>
      </c>
      <c r="E61" s="167"/>
      <c r="F61" s="167"/>
      <c r="G61" s="167"/>
      <c r="H61" s="168"/>
      <c r="I61" s="44"/>
      <c r="M61" s="34" t="s">
        <v>66</v>
      </c>
      <c r="N61" s="133">
        <f>IF(R58,R59,IF(P58,P59,IF(N58,N59,0)))</f>
        <v>0</v>
      </c>
    </row>
    <row r="62" spans="2:18" ht="40.049999999999997" customHeight="1" x14ac:dyDescent="0.45">
      <c r="B62" s="111"/>
      <c r="C62" s="19" t="s">
        <v>465</v>
      </c>
      <c r="D62" s="169" t="s">
        <v>720</v>
      </c>
      <c r="E62" s="170"/>
      <c r="F62" s="170"/>
      <c r="G62" s="170"/>
      <c r="H62" s="171"/>
      <c r="I62" s="44"/>
      <c r="M62" s="37"/>
      <c r="N62" s="37"/>
      <c r="O62" s="37"/>
      <c r="P62" s="37"/>
      <c r="Q62" s="37"/>
      <c r="R62" s="37"/>
    </row>
    <row r="63" spans="2:18" ht="80" customHeight="1" x14ac:dyDescent="0.45">
      <c r="B63" s="111"/>
      <c r="C63" s="19" t="s">
        <v>466</v>
      </c>
      <c r="D63" s="162" t="s">
        <v>721</v>
      </c>
      <c r="E63" s="162"/>
      <c r="F63" s="162"/>
      <c r="G63" s="163"/>
      <c r="H63" s="164"/>
      <c r="I63" s="44"/>
      <c r="K63" s="52"/>
      <c r="L63" s="51"/>
      <c r="M63" s="159" t="s">
        <v>20</v>
      </c>
      <c r="N63" s="159"/>
      <c r="O63" s="159"/>
      <c r="P63" s="159"/>
      <c r="Q63" s="159"/>
      <c r="R63" s="159"/>
    </row>
    <row r="64" spans="2:18" ht="27" customHeight="1" x14ac:dyDescent="0.45">
      <c r="B64" s="111"/>
      <c r="C64" s="172" t="s">
        <v>267</v>
      </c>
      <c r="D64" s="173"/>
      <c r="E64" s="173"/>
      <c r="F64" s="173"/>
      <c r="G64" s="173"/>
      <c r="H64" s="20" t="s">
        <v>259</v>
      </c>
      <c r="I64" s="44"/>
      <c r="K64" s="21" t="s">
        <v>31</v>
      </c>
      <c r="M64" s="199" t="s">
        <v>118</v>
      </c>
      <c r="N64" s="199"/>
      <c r="O64" s="199" t="s">
        <v>119</v>
      </c>
      <c r="P64" s="199"/>
      <c r="Q64" s="199" t="s">
        <v>120</v>
      </c>
      <c r="R64" s="199"/>
    </row>
    <row r="65" spans="2:18" ht="34.049999999999997" customHeight="1" x14ac:dyDescent="0.45">
      <c r="B65" s="111"/>
      <c r="C65" s="22" t="s">
        <v>173</v>
      </c>
      <c r="D65" s="165" t="s">
        <v>696</v>
      </c>
      <c r="E65" s="165"/>
      <c r="F65" s="165"/>
      <c r="G65" s="165"/>
      <c r="H65" s="85" t="s">
        <v>243</v>
      </c>
      <c r="I65" s="44"/>
      <c r="K65" s="23">
        <f>VLOOKUP(H65,AnswersGen[#All],2,FALSE)</f>
        <v>0</v>
      </c>
      <c r="M65" s="24">
        <v>1</v>
      </c>
      <c r="N65" s="25" t="b">
        <f>$K65=M65</f>
        <v>0</v>
      </c>
      <c r="O65" s="24">
        <v>1</v>
      </c>
      <c r="P65" s="25" t="b">
        <f>$K65=O65</f>
        <v>0</v>
      </c>
      <c r="Q65" s="24">
        <v>1</v>
      </c>
      <c r="R65" s="25" t="b">
        <f>$K65=Q65</f>
        <v>0</v>
      </c>
    </row>
    <row r="66" spans="2:18" ht="46.05" customHeight="1" collapsed="1" x14ac:dyDescent="0.45">
      <c r="B66" s="111"/>
      <c r="C66" s="26" t="s">
        <v>174</v>
      </c>
      <c r="D66" s="166" t="s">
        <v>697</v>
      </c>
      <c r="E66" s="166"/>
      <c r="F66" s="166"/>
      <c r="G66" s="166"/>
      <c r="H66" s="82" t="s">
        <v>243</v>
      </c>
      <c r="I66" s="44"/>
      <c r="K66" s="23">
        <f>VLOOKUP(H66,AnswersGen[#All],2,FALSE)</f>
        <v>0</v>
      </c>
      <c r="M66" s="24">
        <v>1</v>
      </c>
      <c r="N66" s="25" t="b">
        <f>$K66=M66</f>
        <v>0</v>
      </c>
      <c r="O66" s="24">
        <v>1</v>
      </c>
      <c r="P66" s="25" t="b">
        <f>$K66=O66</f>
        <v>0</v>
      </c>
      <c r="Q66" s="24">
        <v>1</v>
      </c>
      <c r="R66" s="25" t="b">
        <f>$K66=Q66</f>
        <v>0</v>
      </c>
    </row>
    <row r="67" spans="2:18" ht="45.5" customHeight="1" collapsed="1" x14ac:dyDescent="0.45">
      <c r="B67" s="111"/>
      <c r="C67" s="22" t="s">
        <v>68</v>
      </c>
      <c r="D67" s="165" t="s">
        <v>698</v>
      </c>
      <c r="E67" s="165"/>
      <c r="F67" s="165"/>
      <c r="G67" s="165"/>
      <c r="H67" s="85" t="s">
        <v>243</v>
      </c>
      <c r="I67" s="44"/>
      <c r="K67" s="23">
        <f>VLOOKUP(H67,AnswersGen[#All],2,FALSE)</f>
        <v>0</v>
      </c>
      <c r="L67" s="51"/>
      <c r="M67" s="24"/>
      <c r="N67" s="25"/>
      <c r="O67" s="24">
        <v>1</v>
      </c>
      <c r="P67" s="25" t="b">
        <f>$K67=O67</f>
        <v>0</v>
      </c>
      <c r="Q67" s="24">
        <v>1</v>
      </c>
      <c r="R67" s="25" t="b">
        <f>$K67=Q67</f>
        <v>0</v>
      </c>
    </row>
    <row r="68" spans="2:18" ht="43.5" customHeight="1" x14ac:dyDescent="0.45">
      <c r="B68" s="111"/>
      <c r="C68" s="26" t="s">
        <v>69</v>
      </c>
      <c r="D68" s="166" t="s">
        <v>699</v>
      </c>
      <c r="E68" s="166"/>
      <c r="F68" s="166"/>
      <c r="G68" s="166"/>
      <c r="H68" s="82" t="s">
        <v>243</v>
      </c>
      <c r="I68" s="44"/>
      <c r="K68" s="23">
        <f>VLOOKUP(H68,AnswersGen[#All],2,FALSE)</f>
        <v>0</v>
      </c>
      <c r="M68" s="24"/>
      <c r="N68" s="25"/>
      <c r="O68" s="24"/>
      <c r="P68" s="25"/>
      <c r="Q68" s="24">
        <v>1</v>
      </c>
      <c r="R68" s="25" t="b">
        <f>$K68=Q68</f>
        <v>0</v>
      </c>
    </row>
    <row r="69" spans="2:18" ht="40.049999999999997" customHeight="1" x14ac:dyDescent="0.45">
      <c r="B69" s="111"/>
      <c r="C69" s="22" t="s">
        <v>70</v>
      </c>
      <c r="D69" s="165" t="s">
        <v>700</v>
      </c>
      <c r="E69" s="165"/>
      <c r="F69" s="165"/>
      <c r="G69" s="165"/>
      <c r="H69" s="85" t="s">
        <v>243</v>
      </c>
      <c r="I69" s="44"/>
      <c r="K69" s="23">
        <f>VLOOKUP(H69,AnswersGen[#All],2,FALSE)</f>
        <v>0</v>
      </c>
      <c r="M69" s="24"/>
      <c r="N69" s="25"/>
      <c r="O69" s="24"/>
      <c r="P69" s="25"/>
      <c r="Q69" s="24">
        <v>1</v>
      </c>
      <c r="R69" s="25" t="b">
        <f>$K69=Q69</f>
        <v>0</v>
      </c>
    </row>
    <row r="70" spans="2:18" ht="27" customHeight="1" thickBot="1" x14ac:dyDescent="0.5">
      <c r="B70" s="111"/>
      <c r="C70" s="83" t="s">
        <v>500</v>
      </c>
      <c r="D70" s="32"/>
      <c r="E70" s="32"/>
      <c r="F70" s="32"/>
      <c r="G70" s="33" t="s">
        <v>485</v>
      </c>
      <c r="H70" s="84" t="str">
        <f>IF(OR(H65="",H66="",H67="",H68="",H69=""),"Answer all questions",IF(R70,VLOOKUP(3,PerfLevels[#All],2,FALSE),IF(P70,VLOOKUP(2,PerfLevels[#All],2,FALSE),IF(N70,VLOOKUP(1,PerfLevels[#All],2,FALSE),VLOOKUP(0,PerfLevels[#All],2,FALSE)))))</f>
        <v>Практика отсутствует</v>
      </c>
      <c r="I70" s="44"/>
      <c r="M70" s="27" t="s">
        <v>24</v>
      </c>
      <c r="N70" s="28" t="b">
        <f>AND(N65:N66)</f>
        <v>0</v>
      </c>
      <c r="O70" s="27" t="s">
        <v>24</v>
      </c>
      <c r="P70" s="28" t="b">
        <f>AND(P65:P67)</f>
        <v>0</v>
      </c>
      <c r="Q70" s="27" t="s">
        <v>24</v>
      </c>
      <c r="R70" s="28" t="b">
        <f>AND(R65:R69)</f>
        <v>0</v>
      </c>
    </row>
    <row r="71" spans="2:18" ht="10.050000000000001" customHeight="1" x14ac:dyDescent="0.45">
      <c r="B71" s="111"/>
      <c r="C71" s="44"/>
      <c r="D71" s="44"/>
      <c r="E71" s="44"/>
      <c r="F71" s="44"/>
      <c r="G71" s="53"/>
      <c r="H71" s="53"/>
      <c r="I71" s="44"/>
      <c r="M71" s="27" t="s">
        <v>26</v>
      </c>
      <c r="N71" s="29">
        <f>VLOOKUP(1,PerfLevels[#All],3,FALSE)-$M$4</f>
        <v>7</v>
      </c>
      <c r="O71" s="27" t="s">
        <v>26</v>
      </c>
      <c r="P71" s="29">
        <f>VLOOKUP(2,PerfLevels[#All],3,FALSE)-$M$4</f>
        <v>14</v>
      </c>
      <c r="Q71" s="27" t="s">
        <v>26</v>
      </c>
      <c r="R71" s="29">
        <f>VLOOKUP(3,PerfLevels[#All],3,FALSE)-$M$4</f>
        <v>21</v>
      </c>
    </row>
    <row r="72" spans="2:18" ht="10.050000000000001" customHeight="1" thickBot="1" x14ac:dyDescent="0.5">
      <c r="B72" s="111"/>
      <c r="C72" s="44"/>
      <c r="D72" s="46"/>
      <c r="E72" s="46"/>
      <c r="F72" s="46"/>
      <c r="G72" s="46"/>
      <c r="H72" s="47"/>
      <c r="I72" s="44"/>
    </row>
    <row r="73" spans="2:18" ht="27" customHeight="1" thickBot="1" x14ac:dyDescent="0.5">
      <c r="B73" s="111"/>
      <c r="C73" s="18" t="s">
        <v>258</v>
      </c>
      <c r="D73" s="167" t="s">
        <v>701</v>
      </c>
      <c r="E73" s="167"/>
      <c r="F73" s="167"/>
      <c r="G73" s="167"/>
      <c r="H73" s="168"/>
      <c r="I73" s="44"/>
      <c r="M73" s="34" t="s">
        <v>71</v>
      </c>
      <c r="N73" s="133">
        <f>IF(R70,R71,IF(P70,P71,IF(N70,N71,0)))</f>
        <v>0</v>
      </c>
    </row>
    <row r="74" spans="2:18" ht="20" customHeight="1" x14ac:dyDescent="0.45">
      <c r="B74" s="111"/>
      <c r="C74" s="19" t="s">
        <v>465</v>
      </c>
      <c r="D74" s="169" t="s">
        <v>811</v>
      </c>
      <c r="E74" s="170"/>
      <c r="F74" s="170"/>
      <c r="G74" s="170"/>
      <c r="H74" s="171"/>
      <c r="I74" s="44"/>
      <c r="K74" s="38"/>
    </row>
    <row r="75" spans="2:18" ht="60" customHeight="1" x14ac:dyDescent="0.45">
      <c r="B75" s="111"/>
      <c r="C75" s="19" t="s">
        <v>466</v>
      </c>
      <c r="D75" s="162" t="s">
        <v>723</v>
      </c>
      <c r="E75" s="162"/>
      <c r="F75" s="162"/>
      <c r="G75" s="163"/>
      <c r="H75" s="164"/>
      <c r="I75" s="44"/>
      <c r="K75" s="52"/>
      <c r="L75" s="51"/>
      <c r="M75" s="159" t="s">
        <v>20</v>
      </c>
      <c r="N75" s="159"/>
      <c r="O75" s="159"/>
      <c r="P75" s="159"/>
      <c r="Q75" s="159"/>
      <c r="R75" s="159"/>
    </row>
    <row r="76" spans="2:18" ht="27" customHeight="1" x14ac:dyDescent="0.45">
      <c r="B76" s="111"/>
      <c r="C76" s="172" t="s">
        <v>267</v>
      </c>
      <c r="D76" s="173"/>
      <c r="E76" s="173"/>
      <c r="F76" s="173"/>
      <c r="G76" s="173"/>
      <c r="H76" s="20" t="s">
        <v>259</v>
      </c>
      <c r="I76" s="44"/>
      <c r="K76" s="21" t="s">
        <v>31</v>
      </c>
      <c r="M76" s="199" t="s">
        <v>118</v>
      </c>
      <c r="N76" s="199"/>
      <c r="O76" s="199" t="s">
        <v>119</v>
      </c>
      <c r="P76" s="199"/>
      <c r="Q76" s="199" t="s">
        <v>120</v>
      </c>
      <c r="R76" s="199"/>
    </row>
    <row r="77" spans="2:18" ht="34.049999999999997" customHeight="1" x14ac:dyDescent="0.45">
      <c r="B77" s="111"/>
      <c r="C77" s="22" t="s">
        <v>175</v>
      </c>
      <c r="D77" s="165" t="s">
        <v>703</v>
      </c>
      <c r="E77" s="165"/>
      <c r="F77" s="165"/>
      <c r="G77" s="165"/>
      <c r="H77" s="85" t="s">
        <v>243</v>
      </c>
      <c r="I77" s="44"/>
      <c r="K77" s="23">
        <f>VLOOKUP(H77,AnswersGen[#All],2,FALSE)</f>
        <v>0</v>
      </c>
      <c r="M77" s="24">
        <v>1</v>
      </c>
      <c r="N77" s="25" t="b">
        <f>$K77=M77</f>
        <v>0</v>
      </c>
      <c r="O77" s="24">
        <v>1</v>
      </c>
      <c r="P77" s="25" t="b">
        <f>$K77=O77</f>
        <v>0</v>
      </c>
      <c r="Q77" s="24">
        <v>1</v>
      </c>
      <c r="R77" s="25" t="b">
        <f>$K77=Q77</f>
        <v>0</v>
      </c>
    </row>
    <row r="78" spans="2:18" ht="34.049999999999997" customHeight="1" collapsed="1" x14ac:dyDescent="0.45">
      <c r="B78" s="111"/>
      <c r="C78" s="26" t="s">
        <v>73</v>
      </c>
      <c r="D78" s="166" t="s">
        <v>704</v>
      </c>
      <c r="E78" s="166"/>
      <c r="F78" s="166"/>
      <c r="G78" s="166"/>
      <c r="H78" s="82" t="s">
        <v>243</v>
      </c>
      <c r="I78" s="44"/>
      <c r="K78" s="23">
        <f>VLOOKUP(H78,AnswersGen[#All],2,FALSE)</f>
        <v>0</v>
      </c>
      <c r="M78" s="24"/>
      <c r="N78" s="25"/>
      <c r="O78" s="24">
        <v>1</v>
      </c>
      <c r="P78" s="25" t="b">
        <f>$K78=O78</f>
        <v>0</v>
      </c>
      <c r="Q78" s="24">
        <v>1</v>
      </c>
      <c r="R78" s="25" t="b">
        <f>$K78=Q78</f>
        <v>0</v>
      </c>
    </row>
    <row r="79" spans="2:18" ht="34.049999999999997" customHeight="1" x14ac:dyDescent="0.45">
      <c r="B79" s="111"/>
      <c r="C79" s="22" t="s">
        <v>74</v>
      </c>
      <c r="D79" s="165" t="s">
        <v>705</v>
      </c>
      <c r="E79" s="165"/>
      <c r="F79" s="165"/>
      <c r="G79" s="165"/>
      <c r="H79" s="85" t="s">
        <v>243</v>
      </c>
      <c r="I79" s="44"/>
      <c r="K79" s="23">
        <f>VLOOKUP(H79,AnswersGen[#All],2,FALSE)</f>
        <v>0</v>
      </c>
      <c r="M79" s="24"/>
      <c r="N79" s="25"/>
      <c r="O79" s="24"/>
      <c r="P79" s="25"/>
      <c r="Q79" s="24">
        <v>1</v>
      </c>
      <c r="R79" s="25" t="b">
        <f>$K79=Q79</f>
        <v>0</v>
      </c>
    </row>
    <row r="80" spans="2:18" ht="27" customHeight="1" thickBot="1" x14ac:dyDescent="0.5">
      <c r="B80" s="111"/>
      <c r="C80" s="83" t="s">
        <v>500</v>
      </c>
      <c r="D80" s="32"/>
      <c r="E80" s="32"/>
      <c r="F80" s="32"/>
      <c r="G80" s="33" t="s">
        <v>484</v>
      </c>
      <c r="H80" s="84" t="str">
        <f>IF(OR(H77="",H78="",H79=""),"Answer all questions",IF(R79,VLOOKUP(3,PerfLevels[#All],2,FALSE),IF(P79,VLOOKUP(2,PerfLevels[#All],2,FALSE),IF(N79,VLOOKUP(1,PerfLevels[#All],2,FALSE),VLOOKUP(0,PerfLevels[#All],2,FALSE)))))</f>
        <v>Практика отсутствует</v>
      </c>
      <c r="I80" s="44"/>
      <c r="M80" s="27" t="s">
        <v>24</v>
      </c>
      <c r="N80" s="28" t="b">
        <f>AND(N77)</f>
        <v>0</v>
      </c>
      <c r="O80" s="27" t="s">
        <v>24</v>
      </c>
      <c r="P80" s="28" t="b">
        <f>AND(P77:P78)</f>
        <v>0</v>
      </c>
      <c r="Q80" s="27" t="s">
        <v>24</v>
      </c>
      <c r="R80" s="28" t="b">
        <f>AND(R77:R79)</f>
        <v>0</v>
      </c>
    </row>
    <row r="81" spans="2:18" ht="10.050000000000001" customHeight="1" x14ac:dyDescent="0.45">
      <c r="B81" s="111"/>
      <c r="C81" s="44"/>
      <c r="D81" s="44"/>
      <c r="E81" s="44"/>
      <c r="F81" s="44"/>
      <c r="G81" s="53"/>
      <c r="H81" s="53"/>
      <c r="I81" s="44"/>
      <c r="M81" s="27" t="s">
        <v>26</v>
      </c>
      <c r="N81" s="29">
        <f>VLOOKUP(1,PerfLevels[#All],3,FALSE)-$M$4</f>
        <v>7</v>
      </c>
      <c r="O81" s="27" t="s">
        <v>26</v>
      </c>
      <c r="P81" s="29">
        <f>VLOOKUP(2,PerfLevels[#All],3,FALSE)-$M$4</f>
        <v>14</v>
      </c>
      <c r="Q81" s="27" t="s">
        <v>26</v>
      </c>
      <c r="R81" s="29">
        <f>VLOOKUP(3,PerfLevels[#All],3,FALSE)-$M$4</f>
        <v>21</v>
      </c>
    </row>
    <row r="82" spans="2:18" ht="10.050000000000001" customHeight="1" thickBot="1" x14ac:dyDescent="0.5">
      <c r="B82" s="111"/>
      <c r="C82" s="44"/>
      <c r="D82" s="44"/>
      <c r="E82" s="44"/>
      <c r="F82" s="44"/>
      <c r="G82" s="53"/>
      <c r="H82" s="53"/>
      <c r="I82" s="44"/>
    </row>
    <row r="83" spans="2:18" ht="27" customHeight="1" thickBot="1" x14ac:dyDescent="0.5">
      <c r="B83" s="111"/>
      <c r="C83" s="18" t="s">
        <v>258</v>
      </c>
      <c r="D83" s="167" t="s">
        <v>706</v>
      </c>
      <c r="E83" s="167"/>
      <c r="F83" s="167"/>
      <c r="G83" s="167"/>
      <c r="H83" s="168"/>
      <c r="I83" s="44"/>
      <c r="M83" s="34" t="s">
        <v>75</v>
      </c>
      <c r="N83" s="133">
        <f>IF(R80,R81,IF(P80,P81,IF(N80,N81,0)))</f>
        <v>0</v>
      </c>
    </row>
    <row r="84" spans="2:18" ht="27" customHeight="1" x14ac:dyDescent="0.45">
      <c r="B84" s="111"/>
      <c r="C84" s="19" t="s">
        <v>465</v>
      </c>
      <c r="D84" s="180" t="s">
        <v>722</v>
      </c>
      <c r="E84" s="181"/>
      <c r="F84" s="181"/>
      <c r="G84" s="181"/>
      <c r="H84" s="201"/>
      <c r="I84" s="44"/>
    </row>
    <row r="85" spans="2:18" ht="80" customHeight="1" x14ac:dyDescent="0.45">
      <c r="B85" s="111"/>
      <c r="C85" s="19" t="s">
        <v>466</v>
      </c>
      <c r="D85" s="162" t="s">
        <v>724</v>
      </c>
      <c r="E85" s="162"/>
      <c r="F85" s="162"/>
      <c r="G85" s="163"/>
      <c r="H85" s="164"/>
      <c r="I85" s="44"/>
      <c r="K85" s="52"/>
      <c r="L85" s="51"/>
      <c r="M85" s="159" t="s">
        <v>20</v>
      </c>
      <c r="N85" s="159"/>
      <c r="O85" s="159"/>
      <c r="P85" s="159"/>
      <c r="Q85" s="159"/>
      <c r="R85" s="159"/>
    </row>
    <row r="86" spans="2:18" ht="28.05" customHeight="1" x14ac:dyDescent="0.45">
      <c r="B86" s="111"/>
      <c r="C86" s="172" t="s">
        <v>267</v>
      </c>
      <c r="D86" s="173"/>
      <c r="E86" s="173"/>
      <c r="F86" s="173"/>
      <c r="G86" s="173"/>
      <c r="H86" s="20" t="s">
        <v>259</v>
      </c>
      <c r="I86" s="44"/>
      <c r="K86" s="21" t="s">
        <v>31</v>
      </c>
      <c r="M86" s="199" t="s">
        <v>118</v>
      </c>
      <c r="N86" s="199"/>
      <c r="O86" s="199" t="s">
        <v>119</v>
      </c>
      <c r="P86" s="199"/>
      <c r="Q86" s="199" t="s">
        <v>120</v>
      </c>
      <c r="R86" s="199"/>
    </row>
    <row r="87" spans="2:18" ht="52.5" customHeight="1" x14ac:dyDescent="0.45">
      <c r="B87" s="111"/>
      <c r="C87" s="22" t="s">
        <v>176</v>
      </c>
      <c r="D87" s="165" t="s">
        <v>708</v>
      </c>
      <c r="E87" s="165"/>
      <c r="F87" s="165"/>
      <c r="G87" s="165"/>
      <c r="H87" s="85" t="s">
        <v>243</v>
      </c>
      <c r="I87" s="44"/>
      <c r="K87" s="23">
        <f>VLOOKUP(H87,AnswersGen[#All],2,FALSE)</f>
        <v>0</v>
      </c>
      <c r="M87" s="24">
        <v>1</v>
      </c>
      <c r="N87" s="25" t="b">
        <f>$K87=M87</f>
        <v>0</v>
      </c>
      <c r="O87" s="24">
        <v>1</v>
      </c>
      <c r="P87" s="25" t="b">
        <f>$K87=O87</f>
        <v>0</v>
      </c>
      <c r="Q87" s="24">
        <v>1</v>
      </c>
      <c r="R87" s="25" t="b">
        <f>$K87=Q87</f>
        <v>0</v>
      </c>
    </row>
    <row r="88" spans="2:18" ht="25.5" customHeight="1" collapsed="1" x14ac:dyDescent="0.45">
      <c r="B88" s="111"/>
      <c r="C88" s="26" t="s">
        <v>76</v>
      </c>
      <c r="D88" s="166" t="s">
        <v>709</v>
      </c>
      <c r="E88" s="166"/>
      <c r="F88" s="166"/>
      <c r="G88" s="166"/>
      <c r="H88" s="82" t="s">
        <v>243</v>
      </c>
      <c r="I88" s="44"/>
      <c r="K88" s="23">
        <f>VLOOKUP(H88,AnswersGen[#All],2,FALSE)</f>
        <v>0</v>
      </c>
      <c r="M88" s="24"/>
      <c r="N88" s="25"/>
      <c r="O88" s="24">
        <v>1</v>
      </c>
      <c r="P88" s="25" t="b">
        <f>$K88=O88</f>
        <v>0</v>
      </c>
      <c r="Q88" s="24">
        <v>1</v>
      </c>
      <c r="R88" s="25" t="b">
        <f>$K88=Q88</f>
        <v>0</v>
      </c>
    </row>
    <row r="89" spans="2:18" ht="40.049999999999997" customHeight="1" x14ac:dyDescent="0.45">
      <c r="B89" s="111"/>
      <c r="C89" s="22" t="s">
        <v>77</v>
      </c>
      <c r="D89" s="165" t="s">
        <v>710</v>
      </c>
      <c r="E89" s="165"/>
      <c r="F89" s="165"/>
      <c r="G89" s="165"/>
      <c r="H89" s="85" t="s">
        <v>243</v>
      </c>
      <c r="I89" s="44"/>
      <c r="K89" s="23">
        <f>VLOOKUP(H89,AnswersGen[#All],2,FALSE)</f>
        <v>0</v>
      </c>
      <c r="L89" s="51"/>
      <c r="M89" s="24"/>
      <c r="N89" s="25"/>
      <c r="O89" s="24">
        <v>1</v>
      </c>
      <c r="P89" s="25" t="b">
        <f>$K89=O89</f>
        <v>0</v>
      </c>
      <c r="Q89" s="24">
        <v>1</v>
      </c>
      <c r="R89" s="25" t="b">
        <f>$K89=Q89</f>
        <v>0</v>
      </c>
    </row>
    <row r="90" spans="2:18" ht="40.049999999999997" customHeight="1" x14ac:dyDescent="0.45">
      <c r="B90" s="111"/>
      <c r="C90" s="56" t="s">
        <v>78</v>
      </c>
      <c r="D90" s="200" t="s">
        <v>711</v>
      </c>
      <c r="E90" s="200"/>
      <c r="F90" s="200"/>
      <c r="G90" s="200"/>
      <c r="H90" s="82" t="s">
        <v>243</v>
      </c>
      <c r="I90" s="44"/>
      <c r="K90" s="23">
        <f>VLOOKUP(H90,AnswersGen[#All],2,FALSE)</f>
        <v>0</v>
      </c>
      <c r="M90" s="24"/>
      <c r="N90" s="25"/>
      <c r="O90" s="24"/>
      <c r="P90" s="25"/>
      <c r="Q90" s="24">
        <v>1</v>
      </c>
      <c r="R90" s="25" t="b">
        <f>$K90=Q90</f>
        <v>0</v>
      </c>
    </row>
    <row r="91" spans="2:18" ht="27" customHeight="1" thickBot="1" x14ac:dyDescent="0.5">
      <c r="B91" s="111"/>
      <c r="C91" s="83" t="s">
        <v>500</v>
      </c>
      <c r="D91" s="32"/>
      <c r="E91" s="32"/>
      <c r="F91" s="32"/>
      <c r="G91" s="33" t="s">
        <v>483</v>
      </c>
      <c r="H91" s="84" t="str">
        <f>IF(OR(H87="",H88="",H89="",H90=""),"Answer all questions",IF(R91,VLOOKUP(3,PerfLevels[#All],2,FALSE),IF(P91,VLOOKUP(2,PerfLevels[#All],2,FALSE),IF(N91,VLOOKUP(1,PerfLevels[#All],2,FALSE),VLOOKUP(0,PerfLevels[#All],2,FALSE)))))</f>
        <v>Практика отсутствует</v>
      </c>
      <c r="I91" s="44"/>
      <c r="M91" s="27" t="s">
        <v>24</v>
      </c>
      <c r="N91" s="28" t="b">
        <f>AND(N87)</f>
        <v>0</v>
      </c>
      <c r="O91" s="27" t="s">
        <v>24</v>
      </c>
      <c r="P91" s="28" t="b">
        <f>AND(P87:P89)</f>
        <v>0</v>
      </c>
      <c r="Q91" s="27" t="s">
        <v>24</v>
      </c>
      <c r="R91" s="28" t="b">
        <f>AND(R87:R90)</f>
        <v>0</v>
      </c>
    </row>
    <row r="92" spans="2:18" ht="10.050000000000001" customHeight="1" x14ac:dyDescent="0.45">
      <c r="B92" s="111"/>
      <c r="C92" s="44"/>
      <c r="D92" s="44"/>
      <c r="E92" s="44"/>
      <c r="F92" s="44"/>
      <c r="G92" s="53"/>
      <c r="H92" s="53"/>
      <c r="I92" s="44"/>
      <c r="M92" s="27" t="s">
        <v>26</v>
      </c>
      <c r="N92" s="29">
        <f>VLOOKUP(1,PerfLevels[#All],3,FALSE)-$M$4</f>
        <v>7</v>
      </c>
      <c r="O92" s="27" t="s">
        <v>26</v>
      </c>
      <c r="P92" s="29">
        <f>VLOOKUP(2,PerfLevels[#All],3,FALSE)-$M$4</f>
        <v>14</v>
      </c>
      <c r="Q92" s="27" t="s">
        <v>26</v>
      </c>
      <c r="R92" s="29">
        <f>VLOOKUP(3,PerfLevels[#All],3,FALSE)-$M$4</f>
        <v>21</v>
      </c>
    </row>
    <row r="93" spans="2:18" ht="10.050000000000001" customHeight="1" thickBot="1" x14ac:dyDescent="0.5">
      <c r="B93" s="111"/>
      <c r="C93" s="44"/>
      <c r="D93" s="44"/>
      <c r="E93" s="44"/>
      <c r="F93" s="44"/>
      <c r="G93" s="53"/>
      <c r="H93" s="53"/>
      <c r="I93" s="44"/>
    </row>
    <row r="94" spans="2:18" ht="27" customHeight="1" thickBot="1" x14ac:dyDescent="0.5">
      <c r="M94" s="34" t="s">
        <v>149</v>
      </c>
      <c r="N94" s="133">
        <f>IF(R91,R92,IF(P91,P92,IF(N91,N92,0)))</f>
        <v>0</v>
      </c>
    </row>
    <row r="95" spans="2:18" ht="27" customHeight="1" thickBot="1" x14ac:dyDescent="0.5">
      <c r="P95" s="39" t="s">
        <v>32</v>
      </c>
      <c r="Q95" s="40">
        <f>SUM(R12,R18,R29,R34,R38,R49,R59,R71,R81,R92)</f>
        <v>147</v>
      </c>
    </row>
    <row r="96" spans="2:18" ht="27" customHeight="1" x14ac:dyDescent="0.45">
      <c r="L96" s="41" t="s">
        <v>207</v>
      </c>
      <c r="M96" s="42"/>
      <c r="Q96" s="38"/>
    </row>
    <row r="97" spans="12:13" ht="27" customHeight="1" thickBot="1" x14ac:dyDescent="0.5">
      <c r="L97" s="15">
        <f>SUM(N20,N40,N51,N61,N73,N83,N94)</f>
        <v>0</v>
      </c>
      <c r="M97" s="9"/>
    </row>
  </sheetData>
  <sheetProtection algorithmName="SHA-512" hashValue="D2TqQVzM1C0FpGHroawGJb5u3FABE9je7ALPZhdghy2+soWmusIT5lVgIlQ82rvNvzmqUEK6ugR8mSEghdLq1Q==" saltValue="ev6rfPhpprW4BYvYJyJ45w==" spinCount="100000" sheet="1" objects="1" scenarios="1"/>
  <mergeCells count="102">
    <mergeCell ref="D88:G88"/>
    <mergeCell ref="D89:G89"/>
    <mergeCell ref="D90:G90"/>
    <mergeCell ref="D78:G78"/>
    <mergeCell ref="D79:G79"/>
    <mergeCell ref="D66:G66"/>
    <mergeCell ref="D67:G67"/>
    <mergeCell ref="D65:G65"/>
    <mergeCell ref="Q86:R86"/>
    <mergeCell ref="D85:H85"/>
    <mergeCell ref="C86:G86"/>
    <mergeCell ref="D87:G87"/>
    <mergeCell ref="D83:H83"/>
    <mergeCell ref="D84:H84"/>
    <mergeCell ref="M85:R85"/>
    <mergeCell ref="M86:N86"/>
    <mergeCell ref="O86:P86"/>
    <mergeCell ref="Q76:R76"/>
    <mergeCell ref="D75:H75"/>
    <mergeCell ref="C76:G76"/>
    <mergeCell ref="D77:G77"/>
    <mergeCell ref="D73:H73"/>
    <mergeCell ref="D74:H74"/>
    <mergeCell ref="M75:R75"/>
    <mergeCell ref="M76:N76"/>
    <mergeCell ref="O76:P76"/>
    <mergeCell ref="D68:G68"/>
    <mergeCell ref="D69:G69"/>
    <mergeCell ref="D51:H51"/>
    <mergeCell ref="D30:G30"/>
    <mergeCell ref="M43:N43"/>
    <mergeCell ref="O43:P43"/>
    <mergeCell ref="Q43:R43"/>
    <mergeCell ref="M63:R63"/>
    <mergeCell ref="M64:N64"/>
    <mergeCell ref="O64:P64"/>
    <mergeCell ref="Q64:R64"/>
    <mergeCell ref="D36:G36"/>
    <mergeCell ref="D53:H53"/>
    <mergeCell ref="C54:G54"/>
    <mergeCell ref="D44:G44"/>
    <mergeCell ref="D42:H42"/>
    <mergeCell ref="C43:G43"/>
    <mergeCell ref="D63:H63"/>
    <mergeCell ref="C64:G64"/>
    <mergeCell ref="D32:G32"/>
    <mergeCell ref="M42:R42"/>
    <mergeCell ref="M53:R53"/>
    <mergeCell ref="C24:H24"/>
    <mergeCell ref="C29:H29"/>
    <mergeCell ref="D27:G27"/>
    <mergeCell ref="C34:H34"/>
    <mergeCell ref="D52:H52"/>
    <mergeCell ref="D46:G46"/>
    <mergeCell ref="D47:G47"/>
    <mergeCell ref="D25:G25"/>
    <mergeCell ref="F28:G28"/>
    <mergeCell ref="E33:G33"/>
    <mergeCell ref="F37:G37"/>
    <mergeCell ref="D57:G57"/>
    <mergeCell ref="D61:H61"/>
    <mergeCell ref="D55:G55"/>
    <mergeCell ref="D56:G56"/>
    <mergeCell ref="D62:H62"/>
    <mergeCell ref="D45:G45"/>
    <mergeCell ref="D40:H40"/>
    <mergeCell ref="D41:H41"/>
    <mergeCell ref="D31:G31"/>
    <mergeCell ref="D35:G35"/>
    <mergeCell ref="C1:H1"/>
    <mergeCell ref="C2:H2"/>
    <mergeCell ref="D3:H3"/>
    <mergeCell ref="D4:H4"/>
    <mergeCell ref="M7:N7"/>
    <mergeCell ref="O7:P7"/>
    <mergeCell ref="Q7:R7"/>
    <mergeCell ref="C6:G6"/>
    <mergeCell ref="D10:G10"/>
    <mergeCell ref="M54:N54"/>
    <mergeCell ref="O54:P54"/>
    <mergeCell ref="Q54:R54"/>
    <mergeCell ref="D5:H5"/>
    <mergeCell ref="M6:R6"/>
    <mergeCell ref="D9:G9"/>
    <mergeCell ref="C7:H7"/>
    <mergeCell ref="D8:G8"/>
    <mergeCell ref="D20:H20"/>
    <mergeCell ref="D21:H21"/>
    <mergeCell ref="D13:G13"/>
    <mergeCell ref="D14:G14"/>
    <mergeCell ref="C12:H12"/>
    <mergeCell ref="F11:G11"/>
    <mergeCell ref="F17:G17"/>
    <mergeCell ref="M23:R23"/>
    <mergeCell ref="M24:N24"/>
    <mergeCell ref="O24:P24"/>
    <mergeCell ref="Q24:R24"/>
    <mergeCell ref="D22:H22"/>
    <mergeCell ref="C23:G23"/>
    <mergeCell ref="D15:G15"/>
    <mergeCell ref="D16:G16"/>
    <mergeCell ref="D26:G26"/>
  </mergeCells>
  <dataValidations count="16">
    <dataValidation type="list" allowBlank="1" showInputMessage="1" showErrorMessage="1" errorTitle="Invalid" error="Please choose an option from the list" promptTitle="Answer" prompt="Please select an answer from the list" sqref="H13:H14 H35 H44:H45" xr:uid="{FA39EC38-85EB-F847-8440-DC39BEE16D0B}">
      <formula1>INDIRECT("AnswersNA[Choices]")</formula1>
    </dataValidation>
    <dataValidation type="list" allowBlank="1" showInputMessage="1" showErrorMessage="1" errorTitle="Invalid" error="Please choose an option from the list" promptTitle="Answer" prompt="Please select an answer from the list" sqref="H8:H9 H47 H57 H65:H69 H77:H79 H87:H90" xr:uid="{5BC3C302-8A22-D146-AB02-CFBD69CE090C}">
      <formula1>INDIRECT("AnswersGen[Choices]")</formula1>
    </dataValidation>
    <dataValidation type="list" allowBlank="1" showInputMessage="1" showErrorMessage="1" errorTitle="Invalid" error="Please choose an option from the list" promptTitle="Answer" prompt="Please select an answer from the list" sqref="H10" xr:uid="{9802CB5B-A721-2D4A-ADEC-4EBC876F90A9}">
      <formula1>INDIRECT("AnswersES13[Choices]")</formula1>
    </dataValidation>
    <dataValidation type="list" allowBlank="1" showInputMessage="1" showErrorMessage="1" errorTitle="Invalid" error="Please choose an option from the list" promptTitle="Answer" prompt="Please select an answer from the list" sqref="H27" xr:uid="{9ECF4B8F-5F00-DC48-8B90-C19687BCC588}">
      <formula1>INDIRECT("AnswersES23[Choices]")</formula1>
    </dataValidation>
    <dataValidation type="list" allowBlank="1" showInputMessage="1" showErrorMessage="1" errorTitle="Invalid" error="Please choose an option from the list" promptTitle="Answer" prompt="Please select an answer from the list" sqref="H25" xr:uid="{8C06260A-CE48-CC46-9B99-5330D09A0E2E}">
      <formula1>INDIRECT("AnswersES21[Choices]")</formula1>
    </dataValidation>
    <dataValidation type="list" allowBlank="1" showInputMessage="1" showErrorMessage="1" errorTitle="Invalid" error="Please choose an option from the list" promptTitle="Answer" prompt="Please select an answer from the list" sqref="H26" xr:uid="{7FB9089A-7972-EA47-81FD-EDA620CBFA62}">
      <formula1>INDIRECT("AnswersES22[Choices]")</formula1>
    </dataValidation>
    <dataValidation type="list" allowBlank="1" showInputMessage="1" showErrorMessage="1" errorTitle="Invalid" error="Please choose an option from the list" promptTitle="Answer" prompt="Please select an answer from the list" sqref="H30" xr:uid="{6D45C492-1514-0142-91DA-83AA6236D3FC}">
      <formula1>INDIRECT("AnswersES24[Choices]")</formula1>
    </dataValidation>
    <dataValidation type="list" allowBlank="1" showInputMessage="1" showErrorMessage="1" errorTitle="Invalid" error="Please choose an option from the list" promptTitle="Answer" prompt="Please select an answer from the list" sqref="H32" xr:uid="{77903B8E-A739-F740-9E95-EE6179125DB6}">
      <formula1>INDIRECT("AnswersES26[Choices]")</formula1>
    </dataValidation>
    <dataValidation type="list" allowBlank="1" showInputMessage="1" showErrorMessage="1" errorTitle="Invalid" error="Please choose an option from the list" promptTitle="Answer" prompt="Please select an answer from the list" sqref="H36" xr:uid="{F319B162-BF9C-BA4A-9C05-A9510C578B9E}">
      <formula1>INDIRECT("AnswersES28[Choices]")</formula1>
    </dataValidation>
    <dataValidation type="list" allowBlank="1" showInputMessage="1" showErrorMessage="1" errorTitle="Invalid" error="Please choose an option from the list" promptTitle="Answer" prompt="Please select an answer from the list" sqref="H55" xr:uid="{DC0FE741-6DB9-3642-BE3B-3E9038D5B20F}">
      <formula1>INDIRECT("AnswersES41[Choices]")</formula1>
    </dataValidation>
    <dataValidation allowBlank="1" showErrorMessage="1" sqref="D13:G16 D26:G26" xr:uid="{86CD2AF8-59F9-EF47-A2BE-E7B8FB045048}"/>
    <dataValidation type="list" allowBlank="1" showInputMessage="1" showErrorMessage="1" errorTitle="Invalid" error="Please choose an option from the list" promptTitle="Answer" prompt="Please select an answer from the list" sqref="H56" xr:uid="{6C9AF980-7F4A-614D-85F9-006ABA94A7B6}">
      <formula1>INDIRECT("AnswersES42[Choices]")</formula1>
    </dataValidation>
    <dataValidation type="list" allowBlank="1" showInputMessage="1" showErrorMessage="1" errorTitle="Invalid" error="Please choose an option from the list" promptTitle="Answer" prompt="Please select an answer from the list" sqref="H15" xr:uid="{E00259C2-6693-48D5-B885-9DC82CD49195}">
      <formula1>INDIRECT("AnswersES16[Choices]")</formula1>
    </dataValidation>
    <dataValidation type="list" allowBlank="1" showInputMessage="1" showErrorMessage="1" errorTitle="Invalid" error="Please choose an option from the list" promptTitle="Answer" prompt="Please select an answer from the list" sqref="H16" xr:uid="{27AE2C6E-D43B-4466-B126-DC65B1BDD70B}">
      <formula1>INDIRECT("AnswersES17[Choices]")</formula1>
    </dataValidation>
    <dataValidation type="list" allowBlank="1" showInputMessage="1" showErrorMessage="1" errorTitle="Invalid" error="Please choose an option from the list" promptTitle="Answer" prompt="Please select an answer from the list" sqref="H31" xr:uid="{EF4ED330-912E-471A-8D84-BDA4F1F0C1CD}">
      <formula1>INDIRECT("AnswersES25[Choices]")</formula1>
    </dataValidation>
    <dataValidation type="list" allowBlank="1" showInputMessage="1" showErrorMessage="1" errorTitle="Invalid" error="Please choose an option from the list" promptTitle="Answer" prompt="Please select an answer from the list" sqref="H46" xr:uid="{D3F44DD7-4CC0-430D-8A45-6545DDD298FB}">
      <formula1>INDIRECT("AnswersES33[Choices]")</formula1>
    </dataValidation>
  </dataValidations>
  <printOptions horizontalCentered="1"/>
  <pageMargins left="0.7" right="0.7" top="0.75" bottom="0.75" header="0.3" footer="0.3"/>
  <pageSetup paperSize="9" scale="59" fitToHeight="0" orientation="portrait" verticalDpi="0" r:id="rId1"/>
  <headerFooter>
    <oddHeader>&amp;L&amp;G&amp;C&amp;"Calibri (Body),Bold"&amp;23&amp;K338EDD
People-first PPP Impact Assessment Tool</oddHeader>
    <oddFooter>&amp;L&amp;A&amp;R&amp;"System Font,Regular"&amp;10&amp;K000000&amp;P of &amp;N</oddFooter>
  </headerFooter>
  <rowBreaks count="6" manualBreakCount="6">
    <brk id="19" max="16383" man="1"/>
    <brk id="39" max="16383" man="1"/>
    <brk id="50" max="16383" man="1"/>
    <brk id="60" max="16383" man="1"/>
    <brk id="72" max="16383" man="1"/>
    <brk id="82"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412CC-D116-BA45-A3A1-7592F2847567}">
  <sheetPr>
    <tabColor rgb="FF8395B1"/>
    <pageSetUpPr fitToPage="1"/>
  </sheetPr>
  <dimension ref="B1:S55"/>
  <sheetViews>
    <sheetView showGridLines="0" showRowColHeaders="0" zoomScaleNormal="100" zoomScalePageLayoutView="85" workbookViewId="0"/>
  </sheetViews>
  <sheetFormatPr defaultColWidth="8.796875" defaultRowHeight="27" customHeight="1" x14ac:dyDescent="0.45"/>
  <cols>
    <col min="1" max="1" width="2.46484375" style="16" customWidth="1"/>
    <col min="2" max="2" width="1" style="16" customWidth="1"/>
    <col min="3" max="3" width="23.19921875" style="16" customWidth="1"/>
    <col min="4" max="4" width="41.46484375" style="16" customWidth="1"/>
    <col min="5" max="6" width="20.796875" style="16" customWidth="1"/>
    <col min="7" max="7" width="26.19921875" style="16" customWidth="1"/>
    <col min="8" max="8" width="25" style="16" customWidth="1"/>
    <col min="9" max="9" width="1" style="16" customWidth="1"/>
    <col min="10" max="10" width="2.33203125" style="16" customWidth="1"/>
    <col min="11" max="11" width="13.59765625" style="16" hidden="1" customWidth="1"/>
    <col min="12" max="12" width="4.796875" style="16" hidden="1" customWidth="1"/>
    <col min="13" max="13" width="8.59765625" style="16" hidden="1" customWidth="1"/>
    <col min="14" max="14" width="7.59765625" style="16" hidden="1" customWidth="1"/>
    <col min="15" max="18" width="8.59765625" style="16" hidden="1" customWidth="1"/>
    <col min="19" max="16384" width="8.796875" style="16"/>
  </cols>
  <sheetData>
    <row r="1" spans="2:18" ht="13.5" customHeight="1" x14ac:dyDescent="0.45">
      <c r="C1" s="174"/>
      <c r="D1" s="174"/>
      <c r="E1" s="174"/>
      <c r="F1" s="174"/>
      <c r="G1" s="174"/>
      <c r="H1" s="174"/>
    </row>
    <row r="2" spans="2:18" ht="40.049999999999997" customHeight="1" thickBot="1" x14ac:dyDescent="0.5">
      <c r="B2" s="112"/>
      <c r="C2" s="202" t="s">
        <v>524</v>
      </c>
      <c r="D2" s="202"/>
      <c r="E2" s="202"/>
      <c r="F2" s="202"/>
      <c r="G2" s="202"/>
      <c r="H2" s="202"/>
      <c r="I2" s="61"/>
    </row>
    <row r="3" spans="2:18" ht="27" customHeight="1" x14ac:dyDescent="0.45">
      <c r="B3" s="112"/>
      <c r="C3" s="18" t="s">
        <v>258</v>
      </c>
      <c r="D3" s="167" t="s">
        <v>526</v>
      </c>
      <c r="E3" s="167"/>
      <c r="F3" s="167"/>
      <c r="G3" s="167"/>
      <c r="H3" s="168"/>
      <c r="I3" s="61"/>
    </row>
    <row r="4" spans="2:18" ht="40.049999999999997" customHeight="1" x14ac:dyDescent="0.45">
      <c r="B4" s="112"/>
      <c r="C4" s="19" t="s">
        <v>465</v>
      </c>
      <c r="D4" s="169" t="s">
        <v>532</v>
      </c>
      <c r="E4" s="169"/>
      <c r="F4" s="169"/>
      <c r="G4" s="170"/>
      <c r="H4" s="171"/>
      <c r="I4" s="61"/>
    </row>
    <row r="5" spans="2:18" ht="107" customHeight="1" x14ac:dyDescent="0.45">
      <c r="B5" s="112"/>
      <c r="C5" s="19" t="s">
        <v>466</v>
      </c>
      <c r="D5" s="162" t="s">
        <v>531</v>
      </c>
      <c r="E5" s="162"/>
      <c r="F5" s="162"/>
      <c r="G5" s="163"/>
      <c r="H5" s="164"/>
      <c r="I5" s="61"/>
      <c r="M5" s="159" t="s">
        <v>20</v>
      </c>
      <c r="N5" s="159"/>
      <c r="O5" s="159"/>
      <c r="P5" s="159"/>
      <c r="Q5" s="159"/>
      <c r="R5" s="159"/>
    </row>
    <row r="6" spans="2:18" ht="27" customHeight="1" x14ac:dyDescent="0.45">
      <c r="B6" s="112"/>
      <c r="C6" s="172" t="s">
        <v>267</v>
      </c>
      <c r="D6" s="173"/>
      <c r="E6" s="173"/>
      <c r="F6" s="173"/>
      <c r="G6" s="173"/>
      <c r="H6" s="20" t="s">
        <v>259</v>
      </c>
      <c r="I6" s="61"/>
      <c r="K6" s="21" t="s">
        <v>31</v>
      </c>
      <c r="M6" s="160" t="s">
        <v>118</v>
      </c>
      <c r="N6" s="160"/>
      <c r="O6" s="160" t="s">
        <v>119</v>
      </c>
      <c r="P6" s="160"/>
      <c r="Q6" s="160" t="s">
        <v>120</v>
      </c>
      <c r="R6" s="160"/>
    </row>
    <row r="7" spans="2:18" ht="33" customHeight="1" x14ac:dyDescent="0.45">
      <c r="B7" s="112"/>
      <c r="C7" s="22" t="s">
        <v>177</v>
      </c>
      <c r="D7" s="165" t="s">
        <v>528</v>
      </c>
      <c r="E7" s="165"/>
      <c r="F7" s="165"/>
      <c r="G7" s="165"/>
      <c r="H7" s="85" t="s">
        <v>243</v>
      </c>
      <c r="I7" s="61"/>
      <c r="K7" s="23">
        <f>VLOOKUP(H7,AnswersGen[#All],2,FALSE)</f>
        <v>0</v>
      </c>
      <c r="M7" s="24">
        <v>1</v>
      </c>
      <c r="N7" s="25" t="b">
        <f>$K7=M7</f>
        <v>0</v>
      </c>
      <c r="O7" s="24">
        <v>1</v>
      </c>
      <c r="P7" s="25" t="b">
        <f>$K7=O7</f>
        <v>0</v>
      </c>
      <c r="Q7" s="24">
        <v>1</v>
      </c>
      <c r="R7" s="25" t="b">
        <f>$K7=Q7</f>
        <v>0</v>
      </c>
    </row>
    <row r="8" spans="2:18" ht="36.5" customHeight="1" collapsed="1" x14ac:dyDescent="0.45">
      <c r="B8" s="112"/>
      <c r="C8" s="26" t="s">
        <v>82</v>
      </c>
      <c r="D8" s="166" t="s">
        <v>533</v>
      </c>
      <c r="E8" s="166"/>
      <c r="F8" s="166"/>
      <c r="G8" s="166"/>
      <c r="H8" s="80" t="s">
        <v>243</v>
      </c>
      <c r="I8" s="61"/>
      <c r="K8" s="23">
        <f>VLOOKUP(H8,AnswersGen[#All],2,FALSE)</f>
        <v>0</v>
      </c>
      <c r="M8" s="24">
        <v>1</v>
      </c>
      <c r="N8" s="25" t="b">
        <f>$K8=M8</f>
        <v>0</v>
      </c>
      <c r="O8" s="24">
        <v>1</v>
      </c>
      <c r="P8" s="25" t="b">
        <f>$K8=O8</f>
        <v>0</v>
      </c>
      <c r="Q8" s="24">
        <v>1</v>
      </c>
      <c r="R8" s="25" t="b">
        <f>$K8=Q8</f>
        <v>0</v>
      </c>
    </row>
    <row r="9" spans="2:18" ht="33" customHeight="1" x14ac:dyDescent="0.45">
      <c r="B9" s="112"/>
      <c r="C9" s="22" t="s">
        <v>83</v>
      </c>
      <c r="D9" s="165" t="s">
        <v>534</v>
      </c>
      <c r="E9" s="165"/>
      <c r="F9" s="165"/>
      <c r="G9" s="165"/>
      <c r="H9" s="85" t="s">
        <v>243</v>
      </c>
      <c r="I9" s="61"/>
      <c r="K9" s="23">
        <f>VLOOKUP(H9,AnswersGen[#All],2,FALSE)</f>
        <v>0</v>
      </c>
      <c r="L9" s="51"/>
      <c r="M9" s="24">
        <v>1</v>
      </c>
      <c r="N9" s="25" t="b">
        <f t="shared" ref="N9:N11" si="0">$K9=M9</f>
        <v>0</v>
      </c>
      <c r="O9" s="24">
        <v>1</v>
      </c>
      <c r="P9" s="25" t="b">
        <f>$K9=O9</f>
        <v>0</v>
      </c>
      <c r="Q9" s="24">
        <v>1</v>
      </c>
      <c r="R9" s="25" t="b">
        <f>$K9=Q9</f>
        <v>0</v>
      </c>
    </row>
    <row r="10" spans="2:18" ht="33" customHeight="1" x14ac:dyDescent="0.45">
      <c r="B10" s="112"/>
      <c r="C10" s="26" t="s">
        <v>84</v>
      </c>
      <c r="D10" s="166" t="s">
        <v>535</v>
      </c>
      <c r="E10" s="166"/>
      <c r="F10" s="166"/>
      <c r="G10" s="166"/>
      <c r="H10" s="80" t="s">
        <v>243</v>
      </c>
      <c r="I10" s="61"/>
      <c r="K10" s="23">
        <f>VLOOKUP(H10,AnswersGen[#All],2,FALSE)</f>
        <v>0</v>
      </c>
      <c r="L10" s="51"/>
      <c r="M10" s="24">
        <v>1</v>
      </c>
      <c r="N10" s="25" t="b">
        <f t="shared" si="0"/>
        <v>0</v>
      </c>
      <c r="O10" s="24">
        <v>1</v>
      </c>
      <c r="P10" s="25" t="b">
        <f>$K10=O10</f>
        <v>0</v>
      </c>
      <c r="Q10" s="24">
        <v>1</v>
      </c>
      <c r="R10" s="25" t="b">
        <f>$K10=Q10</f>
        <v>0</v>
      </c>
    </row>
    <row r="11" spans="2:18" ht="40.049999999999997" customHeight="1" x14ac:dyDescent="0.45">
      <c r="B11" s="112"/>
      <c r="C11" s="22" t="s">
        <v>85</v>
      </c>
      <c r="D11" s="165" t="s">
        <v>536</v>
      </c>
      <c r="E11" s="165"/>
      <c r="F11" s="165"/>
      <c r="G11" s="165"/>
      <c r="H11" s="85" t="s">
        <v>243</v>
      </c>
      <c r="I11" s="61"/>
      <c r="K11" s="23">
        <f>VLOOKUP(H11,AnswersGen[#All],2,FALSE)</f>
        <v>0</v>
      </c>
      <c r="M11" s="24">
        <v>1</v>
      </c>
      <c r="N11" s="25" t="b">
        <f t="shared" si="0"/>
        <v>0</v>
      </c>
      <c r="O11" s="24">
        <v>1</v>
      </c>
      <c r="P11" s="25" t="b">
        <f>$K11=O11</f>
        <v>0</v>
      </c>
      <c r="Q11" s="24">
        <v>1</v>
      </c>
      <c r="R11" s="25" t="b">
        <f>$K11=Q11</f>
        <v>0</v>
      </c>
    </row>
    <row r="12" spans="2:18" ht="20" customHeight="1" thickBot="1" x14ac:dyDescent="0.5">
      <c r="B12" s="112"/>
      <c r="C12" s="83" t="s">
        <v>500</v>
      </c>
      <c r="D12" s="32"/>
      <c r="E12" s="32"/>
      <c r="F12" s="32"/>
      <c r="G12" s="33" t="s">
        <v>482</v>
      </c>
      <c r="H12" s="84" t="str">
        <f>IF(OR(H7="",H8="",H9="",H10="",H11=""),"Answer all questions",IF(R12,VLOOKUP(3,PerfLevels[#All],2,FALSE),IF(P12,VLOOKUP(2,PerfLevels[#All],2,FALSE),IF(N12,VLOOKUP(1,PerfLevels[#All],2,FALSE),VLOOKUP(0,PerfLevels[#All],2,FALSE)))))</f>
        <v>Практика отсутствует</v>
      </c>
      <c r="I12" s="61"/>
      <c r="M12" s="27" t="s">
        <v>24</v>
      </c>
      <c r="N12" s="28" t="b">
        <f>AND(N7:N8)</f>
        <v>0</v>
      </c>
      <c r="O12" s="27" t="s">
        <v>24</v>
      </c>
      <c r="P12" s="28" t="b">
        <f>AND(P7:P8,OR(P9:P10))</f>
        <v>0</v>
      </c>
      <c r="Q12" s="27" t="s">
        <v>24</v>
      </c>
      <c r="R12" s="28" t="b">
        <f>AND(R7:R11)</f>
        <v>0</v>
      </c>
    </row>
    <row r="13" spans="2:18" ht="10.050000000000001" customHeight="1" x14ac:dyDescent="0.45">
      <c r="B13" s="112"/>
      <c r="C13" s="61"/>
      <c r="D13" s="62"/>
      <c r="E13" s="62"/>
      <c r="F13" s="62"/>
      <c r="G13" s="62"/>
      <c r="H13" s="63"/>
      <c r="I13" s="61"/>
      <c r="M13" s="27" t="s">
        <v>26</v>
      </c>
      <c r="N13" s="29">
        <f>VLOOKUP(1,PerfLevels[#All],3,FALSE)</f>
        <v>7</v>
      </c>
      <c r="O13" s="27" t="s">
        <v>26</v>
      </c>
      <c r="P13" s="29">
        <f>VLOOKUP(2,PerfLevels[#All],3,FALSE)</f>
        <v>14</v>
      </c>
      <c r="Q13" s="27" t="s">
        <v>26</v>
      </c>
      <c r="R13" s="29">
        <f>VLOOKUP(3,PerfLevels[#All],3,FALSE)</f>
        <v>21</v>
      </c>
    </row>
    <row r="14" spans="2:18" ht="10.050000000000001" customHeight="1" thickBot="1" x14ac:dyDescent="0.5">
      <c r="B14" s="112"/>
      <c r="C14" s="61"/>
      <c r="D14" s="62"/>
      <c r="E14" s="62"/>
      <c r="F14" s="62"/>
      <c r="G14" s="62"/>
      <c r="H14" s="63"/>
      <c r="I14" s="61"/>
      <c r="M14" s="27" t="s">
        <v>240</v>
      </c>
      <c r="N14" s="29">
        <f>COUNTIF(N9:N11,TRUE)</f>
        <v>0</v>
      </c>
      <c r="O14" s="27" t="s">
        <v>240</v>
      </c>
      <c r="P14" s="29">
        <f>COUNTIF(P11,TRUE)</f>
        <v>0</v>
      </c>
    </row>
    <row r="15" spans="2:18" ht="27" customHeight="1" thickBot="1" x14ac:dyDescent="0.5">
      <c r="B15" s="112"/>
      <c r="C15" s="18" t="s">
        <v>258</v>
      </c>
      <c r="D15" s="167" t="s">
        <v>537</v>
      </c>
      <c r="E15" s="167"/>
      <c r="F15" s="167"/>
      <c r="G15" s="167"/>
      <c r="H15" s="168"/>
      <c r="I15" s="61"/>
      <c r="M15" s="34" t="s">
        <v>86</v>
      </c>
      <c r="N15" s="133">
        <f>IF(R12,R13,IF(P12,P13+P14,IF(N12,N13+N14,0)))</f>
        <v>0</v>
      </c>
      <c r="O15" s="108"/>
      <c r="P15" s="108"/>
      <c r="Q15" s="108"/>
      <c r="R15" s="108"/>
    </row>
    <row r="16" spans="2:18" ht="40.049999999999997" customHeight="1" x14ac:dyDescent="0.45">
      <c r="B16" s="112"/>
      <c r="C16" s="19" t="s">
        <v>465</v>
      </c>
      <c r="D16" s="169" t="s">
        <v>543</v>
      </c>
      <c r="E16" s="169"/>
      <c r="F16" s="169"/>
      <c r="G16" s="170"/>
      <c r="H16" s="171"/>
      <c r="I16" s="61"/>
    </row>
    <row r="17" spans="2:18" ht="100.05" customHeight="1" x14ac:dyDescent="0.45">
      <c r="B17" s="112"/>
      <c r="C17" s="19" t="s">
        <v>466</v>
      </c>
      <c r="D17" s="162" t="s">
        <v>544</v>
      </c>
      <c r="E17" s="162"/>
      <c r="F17" s="162"/>
      <c r="G17" s="163"/>
      <c r="H17" s="164"/>
      <c r="I17" s="61"/>
      <c r="M17" s="159" t="s">
        <v>20</v>
      </c>
      <c r="N17" s="159"/>
      <c r="O17" s="159"/>
      <c r="P17" s="159"/>
      <c r="Q17" s="159"/>
      <c r="R17" s="159"/>
    </row>
    <row r="18" spans="2:18" ht="28.05" customHeight="1" x14ac:dyDescent="0.45">
      <c r="B18" s="112"/>
      <c r="C18" s="172" t="s">
        <v>267</v>
      </c>
      <c r="D18" s="173"/>
      <c r="E18" s="173"/>
      <c r="F18" s="173"/>
      <c r="G18" s="173"/>
      <c r="H18" s="20" t="s">
        <v>259</v>
      </c>
      <c r="I18" s="61"/>
      <c r="K18" s="21" t="s">
        <v>31</v>
      </c>
      <c r="M18" s="160" t="s">
        <v>118</v>
      </c>
      <c r="N18" s="160"/>
      <c r="O18" s="160" t="s">
        <v>119</v>
      </c>
      <c r="P18" s="160"/>
      <c r="Q18" s="160" t="s">
        <v>120</v>
      </c>
      <c r="R18" s="160"/>
    </row>
    <row r="19" spans="2:18" ht="44" customHeight="1" x14ac:dyDescent="0.45">
      <c r="B19" s="112"/>
      <c r="C19" s="22" t="s">
        <v>178</v>
      </c>
      <c r="D19" s="165" t="s">
        <v>805</v>
      </c>
      <c r="E19" s="165"/>
      <c r="F19" s="165"/>
      <c r="G19" s="165"/>
      <c r="H19" s="79" t="s">
        <v>243</v>
      </c>
      <c r="I19" s="61"/>
      <c r="K19" s="23">
        <f>VLOOKUP(H19,AnswersRE21[#All],2,FALSE)</f>
        <v>0</v>
      </c>
      <c r="M19" s="24">
        <v>1</v>
      </c>
      <c r="N19" s="25" t="b">
        <f>$K19&gt;=M19</f>
        <v>0</v>
      </c>
      <c r="O19" s="24">
        <v>2</v>
      </c>
      <c r="P19" s="25" t="b">
        <f>$K19&gt;=O19</f>
        <v>0</v>
      </c>
      <c r="Q19" s="24">
        <v>2</v>
      </c>
      <c r="R19" s="25" t="b">
        <f>$K19&gt;=Q19</f>
        <v>0</v>
      </c>
    </row>
    <row r="20" spans="2:18" ht="28.05" customHeight="1" collapsed="1" x14ac:dyDescent="0.45">
      <c r="B20" s="112"/>
      <c r="C20" s="26" t="s">
        <v>87</v>
      </c>
      <c r="D20" s="166" t="s">
        <v>542</v>
      </c>
      <c r="E20" s="166"/>
      <c r="F20" s="166"/>
      <c r="G20" s="166"/>
      <c r="H20" s="80" t="s">
        <v>243</v>
      </c>
      <c r="I20" s="61"/>
      <c r="K20" s="23">
        <f>VLOOKUP(H20,AnswersGen[#All],2,FALSE)</f>
        <v>0</v>
      </c>
      <c r="M20" s="24">
        <v>1</v>
      </c>
      <c r="N20" s="25" t="b">
        <f>$K20=M20</f>
        <v>0</v>
      </c>
      <c r="O20" s="24">
        <v>1</v>
      </c>
      <c r="P20" s="25" t="b">
        <f>$K20=O20</f>
        <v>0</v>
      </c>
      <c r="Q20" s="24">
        <v>1</v>
      </c>
      <c r="R20" s="25" t="b">
        <f>$K20=Q20</f>
        <v>0</v>
      </c>
    </row>
    <row r="21" spans="2:18" ht="28.05" customHeight="1" x14ac:dyDescent="0.45">
      <c r="B21" s="112"/>
      <c r="C21" s="22" t="s">
        <v>88</v>
      </c>
      <c r="D21" s="165" t="s">
        <v>541</v>
      </c>
      <c r="E21" s="165"/>
      <c r="F21" s="165"/>
      <c r="G21" s="165"/>
      <c r="H21" s="85" t="s">
        <v>243</v>
      </c>
      <c r="I21" s="61"/>
      <c r="K21" s="23">
        <f>VLOOKUP(H21,AnswersGen[#All],2,FALSE)</f>
        <v>0</v>
      </c>
      <c r="M21" s="24">
        <v>1</v>
      </c>
      <c r="N21" s="25" t="b">
        <f>$K21=M21</f>
        <v>0</v>
      </c>
      <c r="O21" s="24">
        <v>1</v>
      </c>
      <c r="P21" s="25" t="b">
        <f>$K21=O21</f>
        <v>0</v>
      </c>
      <c r="Q21" s="24">
        <v>1</v>
      </c>
      <c r="R21" s="25" t="b">
        <f>$K21=Q21</f>
        <v>0</v>
      </c>
    </row>
    <row r="22" spans="2:18" ht="20" customHeight="1" collapsed="1" thickBot="1" x14ac:dyDescent="0.5">
      <c r="B22" s="112"/>
      <c r="C22" s="83" t="s">
        <v>500</v>
      </c>
      <c r="D22" s="32"/>
      <c r="E22" s="32"/>
      <c r="F22" s="32"/>
      <c r="G22" s="33" t="s">
        <v>481</v>
      </c>
      <c r="H22" s="84" t="str">
        <f>IF(OR(H19="",H20="",H21=""),"Answer all questions",IF(R22,VLOOKUP(3,PerfLevels[#All],2,FALSE),IF(P22,VLOOKUP(2,PerfLevels[#All],2,FALSE),IF(N22,VLOOKUP(1,PerfLevels[#All],2,FALSE),VLOOKUP(0,PerfLevels[#All],2,FALSE)))))</f>
        <v>Практика отсутствует</v>
      </c>
      <c r="I22" s="61"/>
      <c r="M22" s="27" t="s">
        <v>24</v>
      </c>
      <c r="N22" s="28" t="b">
        <f>AND(N19:N19)</f>
        <v>0</v>
      </c>
      <c r="O22" s="27" t="s">
        <v>24</v>
      </c>
      <c r="P22" s="28" t="b">
        <f>AND(P19,OR(P20:P21))</f>
        <v>0</v>
      </c>
      <c r="Q22" s="27" t="s">
        <v>24</v>
      </c>
      <c r="R22" s="28" t="b">
        <f>AND(R19:R21)</f>
        <v>0</v>
      </c>
    </row>
    <row r="23" spans="2:18" ht="10.050000000000001" customHeight="1" x14ac:dyDescent="0.45">
      <c r="B23" s="112"/>
      <c r="C23" s="61"/>
      <c r="D23" s="62"/>
      <c r="E23" s="62"/>
      <c r="F23" s="62"/>
      <c r="G23" s="62"/>
      <c r="H23" s="63"/>
      <c r="I23" s="61"/>
      <c r="M23" s="27" t="s">
        <v>26</v>
      </c>
      <c r="N23" s="29">
        <f>VLOOKUP(1,PerfLevels[#All],3,FALSE)</f>
        <v>7</v>
      </c>
      <c r="O23" s="27" t="s">
        <v>26</v>
      </c>
      <c r="P23" s="29">
        <f>VLOOKUP(2,PerfLevels[#All],3,FALSE)</f>
        <v>14</v>
      </c>
      <c r="Q23" s="27" t="s">
        <v>26</v>
      </c>
      <c r="R23" s="29">
        <f>VLOOKUP(3,PerfLevels[#All],3,FALSE)</f>
        <v>21</v>
      </c>
    </row>
    <row r="24" spans="2:18" ht="10.050000000000001" customHeight="1" thickBot="1" x14ac:dyDescent="0.5">
      <c r="B24" s="112"/>
      <c r="C24" s="61"/>
      <c r="D24" s="62"/>
      <c r="E24" s="62"/>
      <c r="F24" s="62"/>
      <c r="G24" s="62"/>
      <c r="H24" s="63"/>
      <c r="I24" s="61"/>
      <c r="M24" s="27" t="s">
        <v>240</v>
      </c>
      <c r="N24" s="29">
        <f>COUNTIF(N20:N21,TRUE)</f>
        <v>0</v>
      </c>
      <c r="O24" s="27" t="s">
        <v>240</v>
      </c>
      <c r="P24" s="29">
        <v>0</v>
      </c>
    </row>
    <row r="25" spans="2:18" ht="30.5" customHeight="1" thickBot="1" x14ac:dyDescent="0.5">
      <c r="B25" s="112"/>
      <c r="C25" s="18" t="s">
        <v>258</v>
      </c>
      <c r="D25" s="167" t="s">
        <v>539</v>
      </c>
      <c r="E25" s="167"/>
      <c r="F25" s="167"/>
      <c r="G25" s="167"/>
      <c r="H25" s="168"/>
      <c r="I25" s="61"/>
      <c r="M25" s="34" t="s">
        <v>89</v>
      </c>
      <c r="N25" s="133">
        <f>IF(R22,R23,IF(P22,P23+P24,IF(N22,N23+N24,0)))</f>
        <v>0</v>
      </c>
    </row>
    <row r="26" spans="2:18" ht="53" customHeight="1" x14ac:dyDescent="0.45">
      <c r="B26" s="112"/>
      <c r="C26" s="19" t="s">
        <v>465</v>
      </c>
      <c r="D26" s="169" t="s">
        <v>549</v>
      </c>
      <c r="E26" s="169"/>
      <c r="F26" s="169"/>
      <c r="G26" s="170"/>
      <c r="H26" s="171"/>
      <c r="I26" s="61"/>
      <c r="M26" s="108"/>
      <c r="N26" s="108"/>
      <c r="O26" s="108"/>
      <c r="P26" s="108"/>
      <c r="Q26" s="108"/>
      <c r="R26" s="108"/>
    </row>
    <row r="27" spans="2:18" ht="48" customHeight="1" x14ac:dyDescent="0.45">
      <c r="B27" s="112"/>
      <c r="C27" s="19" t="s">
        <v>466</v>
      </c>
      <c r="D27" s="162" t="s">
        <v>550</v>
      </c>
      <c r="E27" s="162"/>
      <c r="F27" s="162"/>
      <c r="G27" s="163"/>
      <c r="H27" s="164"/>
      <c r="I27" s="61"/>
      <c r="M27" s="159" t="s">
        <v>209</v>
      </c>
      <c r="N27" s="159"/>
      <c r="O27" s="159"/>
      <c r="P27" s="159"/>
      <c r="Q27" s="159"/>
      <c r="R27" s="159"/>
    </row>
    <row r="28" spans="2:18" ht="28.05" customHeight="1" x14ac:dyDescent="0.45">
      <c r="B28" s="112"/>
      <c r="C28" s="172" t="s">
        <v>267</v>
      </c>
      <c r="D28" s="173"/>
      <c r="E28" s="173"/>
      <c r="F28" s="173"/>
      <c r="G28" s="173"/>
      <c r="H28" s="20" t="s">
        <v>259</v>
      </c>
      <c r="I28" s="61"/>
      <c r="K28" s="21" t="s">
        <v>31</v>
      </c>
      <c r="M28" s="160" t="s">
        <v>118</v>
      </c>
      <c r="N28" s="160"/>
      <c r="O28" s="160" t="s">
        <v>119</v>
      </c>
      <c r="P28" s="160"/>
      <c r="Q28" s="160" t="s">
        <v>120</v>
      </c>
      <c r="R28" s="160"/>
    </row>
    <row r="29" spans="2:18" ht="50.55" customHeight="1" x14ac:dyDescent="0.45">
      <c r="B29" s="112"/>
      <c r="C29" s="22" t="s">
        <v>90</v>
      </c>
      <c r="D29" s="165" t="s">
        <v>545</v>
      </c>
      <c r="E29" s="165"/>
      <c r="F29" s="165"/>
      <c r="G29" s="165"/>
      <c r="H29" s="81" t="s">
        <v>243</v>
      </c>
      <c r="I29" s="61"/>
      <c r="K29" s="23">
        <f>VLOOKUP(H29,AnswersGen[#All],2,FALSE)</f>
        <v>0</v>
      </c>
      <c r="M29" s="24">
        <v>1</v>
      </c>
      <c r="N29" s="25" t="b">
        <f>$K29=M29</f>
        <v>0</v>
      </c>
      <c r="O29" s="24">
        <v>1</v>
      </c>
      <c r="P29" s="25" t="b">
        <f>$K29=O29</f>
        <v>0</v>
      </c>
      <c r="Q29" s="24">
        <v>1</v>
      </c>
      <c r="R29" s="25" t="b">
        <f>$K29=Q29</f>
        <v>0</v>
      </c>
    </row>
    <row r="30" spans="2:18" ht="34.5" customHeight="1" x14ac:dyDescent="0.45">
      <c r="B30" s="112"/>
      <c r="C30" s="26" t="s">
        <v>146</v>
      </c>
      <c r="D30" s="166" t="s">
        <v>546</v>
      </c>
      <c r="E30" s="166"/>
      <c r="F30" s="166"/>
      <c r="G30" s="166"/>
      <c r="H30" s="80" t="s">
        <v>243</v>
      </c>
      <c r="I30" s="61"/>
      <c r="K30" s="23">
        <f>VLOOKUP(H30,AnswersGen[#All],2,FALSE)</f>
        <v>0</v>
      </c>
      <c r="M30" s="24">
        <v>1</v>
      </c>
      <c r="N30" s="25" t="b">
        <f>$K30=M30</f>
        <v>0</v>
      </c>
      <c r="O30" s="24">
        <v>1</v>
      </c>
      <c r="P30" s="25" t="b">
        <f>$K30=O30</f>
        <v>0</v>
      </c>
      <c r="Q30" s="24">
        <v>1</v>
      </c>
      <c r="R30" s="25" t="b">
        <f>$K30=Q30</f>
        <v>0</v>
      </c>
    </row>
    <row r="31" spans="2:18" ht="45.5" customHeight="1" x14ac:dyDescent="0.45">
      <c r="B31" s="112"/>
      <c r="C31" s="22" t="s">
        <v>147</v>
      </c>
      <c r="D31" s="165" t="s">
        <v>547</v>
      </c>
      <c r="E31" s="165"/>
      <c r="F31" s="165"/>
      <c r="G31" s="165"/>
      <c r="H31" s="81" t="s">
        <v>243</v>
      </c>
      <c r="I31" s="61"/>
      <c r="K31" s="23">
        <f>VLOOKUP(H31,AnswersGen[#All],2,FALSE)</f>
        <v>0</v>
      </c>
      <c r="M31" s="24">
        <v>1</v>
      </c>
      <c r="N31" s="25" t="b">
        <f>$K31=M31</f>
        <v>0</v>
      </c>
      <c r="O31" s="24">
        <v>1</v>
      </c>
      <c r="P31" s="25" t="b">
        <f>$K31=O31</f>
        <v>0</v>
      </c>
      <c r="Q31" s="24">
        <v>1</v>
      </c>
      <c r="R31" s="25" t="b">
        <f>$K31=Q31</f>
        <v>0</v>
      </c>
    </row>
    <row r="32" spans="2:18" ht="40.049999999999997" customHeight="1" collapsed="1" x14ac:dyDescent="0.45">
      <c r="B32" s="112"/>
      <c r="C32" s="26" t="s">
        <v>148</v>
      </c>
      <c r="D32" s="166" t="s">
        <v>548</v>
      </c>
      <c r="E32" s="166"/>
      <c r="F32" s="166"/>
      <c r="G32" s="166"/>
      <c r="H32" s="80" t="s">
        <v>243</v>
      </c>
      <c r="I32" s="61"/>
      <c r="K32" s="23">
        <f>VLOOKUP(H32,AnswersGen[#All],2,FALSE)</f>
        <v>0</v>
      </c>
      <c r="M32" s="24">
        <v>1</v>
      </c>
      <c r="N32" s="25" t="b">
        <f>$K32=M32</f>
        <v>0</v>
      </c>
      <c r="O32" s="24">
        <v>1</v>
      </c>
      <c r="P32" s="25" t="b">
        <f>$K32=O32</f>
        <v>0</v>
      </c>
      <c r="Q32" s="24">
        <v>1</v>
      </c>
      <c r="R32" s="25" t="b">
        <f>$K32=Q32</f>
        <v>0</v>
      </c>
    </row>
    <row r="33" spans="2:18" ht="20" customHeight="1" collapsed="1" thickBot="1" x14ac:dyDescent="0.5">
      <c r="B33" s="112"/>
      <c r="C33" s="83"/>
      <c r="D33" s="32"/>
      <c r="E33" s="32"/>
      <c r="F33" s="32"/>
      <c r="G33" s="33" t="s">
        <v>480</v>
      </c>
      <c r="H33" s="84" t="str">
        <f>IF(OR(H29="",H30="",H31="",H32=""),"Answer all questions",IF(R33,VLOOKUP(3,PerfLevels[#All],2,FALSE),IF(P33,VLOOKUP(2,PerfLevels[#All],2,FALSE),IF(N33,VLOOKUP(1,PerfLevels[#All],2,FALSE),VLOOKUP(0,PerfLevels[#All],2,FALSE)))))</f>
        <v>Практика отсутствует</v>
      </c>
      <c r="I33" s="61"/>
      <c r="M33" s="27" t="s">
        <v>24</v>
      </c>
      <c r="N33" s="28" t="b">
        <f>OR(N29:N32)</f>
        <v>0</v>
      </c>
      <c r="O33" s="27" t="s">
        <v>24</v>
      </c>
      <c r="P33" s="28" t="b">
        <f>IF(COUNTIF(P29:P32,TRUE)&gt;=2,TRUE,FALSE)</f>
        <v>0</v>
      </c>
      <c r="Q33" s="27" t="s">
        <v>24</v>
      </c>
      <c r="R33" s="28" t="b">
        <f>IF(COUNTIF(R29:R32,TRUE)&gt;=3,TRUE,FALSE)</f>
        <v>0</v>
      </c>
    </row>
    <row r="34" spans="2:18" ht="10.050000000000001" customHeight="1" x14ac:dyDescent="0.45">
      <c r="B34" s="112"/>
      <c r="C34" s="61"/>
      <c r="D34" s="62"/>
      <c r="E34" s="62"/>
      <c r="F34" s="62"/>
      <c r="G34" s="62"/>
      <c r="H34" s="63"/>
      <c r="I34" s="61"/>
      <c r="M34" s="27" t="s">
        <v>26</v>
      </c>
      <c r="N34" s="92">
        <v>0.01</v>
      </c>
      <c r="O34" s="27" t="s">
        <v>26</v>
      </c>
      <c r="P34" s="92">
        <v>0.02</v>
      </c>
      <c r="Q34" s="27" t="s">
        <v>26</v>
      </c>
      <c r="R34" s="92">
        <v>0.03</v>
      </c>
    </row>
    <row r="35" spans="2:18" ht="10.050000000000001" customHeight="1" thickBot="1" x14ac:dyDescent="0.5">
      <c r="B35" s="112"/>
      <c r="C35" s="61"/>
      <c r="D35" s="62"/>
      <c r="E35" s="62"/>
      <c r="F35" s="62"/>
      <c r="G35" s="62"/>
      <c r="H35" s="63"/>
      <c r="I35" s="61"/>
    </row>
    <row r="36" spans="2:18" ht="27" customHeight="1" thickBot="1" x14ac:dyDescent="0.5">
      <c r="M36" s="34" t="s">
        <v>91</v>
      </c>
      <c r="N36" s="135">
        <f>IF(R33,R34,IF(P33,P34,IF(N33,N34,0)))</f>
        <v>0</v>
      </c>
    </row>
    <row r="37" spans="2:18" ht="27" customHeight="1" thickBot="1" x14ac:dyDescent="0.5">
      <c r="Q37" s="39" t="s">
        <v>32</v>
      </c>
      <c r="R37" s="40">
        <f>SUM(R13,R23)</f>
        <v>42</v>
      </c>
    </row>
    <row r="38" spans="2:18" ht="10.050000000000001" customHeight="1" x14ac:dyDescent="0.45">
      <c r="M38" s="41" t="s">
        <v>113</v>
      </c>
      <c r="N38" s="42"/>
      <c r="R38" s="38"/>
    </row>
    <row r="39" spans="2:18" ht="10.050000000000001" customHeight="1" thickBot="1" x14ac:dyDescent="0.5">
      <c r="M39" s="8">
        <f>SUM(N15,N25)</f>
        <v>0</v>
      </c>
      <c r="N39" s="9"/>
    </row>
    <row r="41" spans="2:18" ht="20" customHeight="1" x14ac:dyDescent="0.45"/>
    <row r="42" spans="2:18" ht="20" customHeight="1" x14ac:dyDescent="0.45"/>
    <row r="43" spans="2:18" ht="20" customHeight="1" x14ac:dyDescent="0.45"/>
    <row r="44" spans="2:18" ht="231" customHeight="1" x14ac:dyDescent="0.45"/>
    <row r="45" spans="2:18" ht="60" customHeight="1" x14ac:dyDescent="0.45"/>
    <row r="47" spans="2:18" ht="60" customHeight="1" x14ac:dyDescent="0.45"/>
    <row r="48" spans="2:18" ht="40.049999999999997" customHeight="1" x14ac:dyDescent="0.45"/>
    <row r="49" spans="19:19" ht="50" customHeight="1" x14ac:dyDescent="0.45"/>
    <row r="50" spans="19:19" ht="40.049999999999997" customHeight="1" x14ac:dyDescent="0.45"/>
    <row r="51" spans="19:19" ht="40.049999999999997" customHeight="1" x14ac:dyDescent="0.45"/>
    <row r="53" spans="19:19" ht="27" customHeight="1" x14ac:dyDescent="0.45">
      <c r="S53" s="38"/>
    </row>
    <row r="54" spans="19:19" ht="10.050000000000001" customHeight="1" x14ac:dyDescent="0.45"/>
    <row r="55" spans="19:19" ht="10.050000000000001" customHeight="1" x14ac:dyDescent="0.45"/>
  </sheetData>
  <sheetProtection algorithmName="SHA-512" hashValue="ug3v3bNkYElhjVxAiO0w05ivjouOj1Ca+Tl9VZPEvJRZvO21+6M3dgYqBRy6ChhsU/bQuhxfIrbEUnD6Y7s0TA==" saltValue="vEfyb8wcZX2sDVoSosp6Pg==" spinCount="100000" sheet="1" objects="1" scenarios="1"/>
  <mergeCells count="38">
    <mergeCell ref="D30:G30"/>
    <mergeCell ref="D31:G31"/>
    <mergeCell ref="D32:G32"/>
    <mergeCell ref="D27:H27"/>
    <mergeCell ref="C28:G28"/>
    <mergeCell ref="D29:G29"/>
    <mergeCell ref="D26:H26"/>
    <mergeCell ref="M27:R27"/>
    <mergeCell ref="M28:N28"/>
    <mergeCell ref="O28:P28"/>
    <mergeCell ref="Q28:R28"/>
    <mergeCell ref="D25:H25"/>
    <mergeCell ref="M17:R17"/>
    <mergeCell ref="D17:H17"/>
    <mergeCell ref="C18:G18"/>
    <mergeCell ref="M18:N18"/>
    <mergeCell ref="O18:P18"/>
    <mergeCell ref="Q18:R18"/>
    <mergeCell ref="D20:G20"/>
    <mergeCell ref="D21:G21"/>
    <mergeCell ref="D19:G19"/>
    <mergeCell ref="D11:G11"/>
    <mergeCell ref="D15:H15"/>
    <mergeCell ref="D16:H16"/>
    <mergeCell ref="O6:P6"/>
    <mergeCell ref="Q6:R6"/>
    <mergeCell ref="D7:G7"/>
    <mergeCell ref="D8:G8"/>
    <mergeCell ref="D9:G9"/>
    <mergeCell ref="C6:G6"/>
    <mergeCell ref="M6:N6"/>
    <mergeCell ref="D10:G10"/>
    <mergeCell ref="D5:H5"/>
    <mergeCell ref="M5:R5"/>
    <mergeCell ref="D4:H4"/>
    <mergeCell ref="C1:H1"/>
    <mergeCell ref="C2:H2"/>
    <mergeCell ref="D3:H3"/>
  </mergeCells>
  <dataValidations count="2">
    <dataValidation type="list" allowBlank="1" showInputMessage="1" showErrorMessage="1" errorTitle="Invalid" error="Please choose an option from the list" promptTitle="Answer" prompt="Please select an answer from the list" sqref="H7:H11 H20:H21 H29:H32" xr:uid="{F76FA54E-5BF5-C142-A662-593453BB5F14}">
      <formula1>INDIRECT("AnswersGen[Choices]")</formula1>
    </dataValidation>
    <dataValidation type="list" allowBlank="1" showInputMessage="1" showErrorMessage="1" errorTitle="Invalid" error="Please choose an option from the list" promptTitle="Answer" prompt="Please select an answer from the list" sqref="H19" xr:uid="{50A29B94-283F-4EC1-A1E2-551202DBC133}">
      <formula1>INDIRECT("AnswersRE21[Choices]")</formula1>
    </dataValidation>
  </dataValidations>
  <printOptions horizontalCentered="1"/>
  <pageMargins left="0.7" right="0.7" top="0.75" bottom="0.75" header="0.3" footer="0.3"/>
  <pageSetup paperSize="9" scale="41" fitToHeight="0" orientation="portrait" verticalDpi="0" r:id="rId1"/>
  <headerFooter>
    <oddHeader>&amp;L&amp;G&amp;C&amp;"Calibri (Body),Bold"&amp;23&amp;K338EDDPeople-first PPP Impact Assessment Tool</oddHeader>
  </headerFooter>
  <rowBreaks count="2" manualBreakCount="2">
    <brk id="14" max="16383" man="1"/>
    <brk id="24"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51F4D-41D9-9C49-A0CA-66B41D1F2142}">
  <sheetPr>
    <tabColor rgb="FFF4B083"/>
    <pageSetUpPr fitToPage="1"/>
  </sheetPr>
  <dimension ref="B1:S50"/>
  <sheetViews>
    <sheetView showGridLines="0" showRowColHeaders="0" zoomScaleNormal="100" workbookViewId="0"/>
  </sheetViews>
  <sheetFormatPr defaultColWidth="8.796875" defaultRowHeight="27" customHeight="1" x14ac:dyDescent="0.45"/>
  <cols>
    <col min="1" max="1" width="2.46484375" style="16" customWidth="1"/>
    <col min="2" max="2" width="1" style="16" customWidth="1"/>
    <col min="3" max="3" width="23" style="16" customWidth="1"/>
    <col min="4" max="4" width="41.46484375" style="16" customWidth="1"/>
    <col min="5" max="6" width="20.796875" style="16" customWidth="1"/>
    <col min="7" max="7" width="27.33203125" style="16" customWidth="1"/>
    <col min="8" max="8" width="36.796875" style="16" customWidth="1"/>
    <col min="9" max="9" width="1" style="16" customWidth="1"/>
    <col min="10" max="10" width="2.33203125" style="16" customWidth="1"/>
    <col min="11" max="11" width="13.59765625" style="16" hidden="1" customWidth="1"/>
    <col min="12" max="12" width="8.46484375" style="16" hidden="1" customWidth="1"/>
    <col min="13" max="13" width="8.59765625" style="16" hidden="1" customWidth="1"/>
    <col min="14" max="14" width="7.59765625" style="16" hidden="1" customWidth="1"/>
    <col min="15" max="18" width="8.59765625" style="16" hidden="1" customWidth="1"/>
    <col min="19" max="16384" width="8.796875" style="16"/>
  </cols>
  <sheetData>
    <row r="1" spans="2:18" ht="13.5" customHeight="1" x14ac:dyDescent="0.45">
      <c r="C1" s="174"/>
      <c r="D1" s="174"/>
      <c r="E1" s="174"/>
      <c r="F1" s="174"/>
      <c r="G1" s="174"/>
      <c r="H1" s="174"/>
    </row>
    <row r="2" spans="2:18" ht="40.049999999999997" customHeight="1" thickBot="1" x14ac:dyDescent="0.5">
      <c r="B2" s="113"/>
      <c r="C2" s="203" t="s">
        <v>260</v>
      </c>
      <c r="D2" s="203"/>
      <c r="E2" s="203"/>
      <c r="F2" s="203"/>
      <c r="G2" s="203"/>
      <c r="H2" s="203"/>
      <c r="I2" s="64"/>
    </row>
    <row r="3" spans="2:18" ht="27" customHeight="1" x14ac:dyDescent="0.45">
      <c r="B3" s="113"/>
      <c r="C3" s="18" t="s">
        <v>258</v>
      </c>
      <c r="D3" s="167" t="s">
        <v>471</v>
      </c>
      <c r="E3" s="167"/>
      <c r="F3" s="167"/>
      <c r="G3" s="167"/>
      <c r="H3" s="168"/>
      <c r="I3" s="64"/>
    </row>
    <row r="4" spans="2:18" ht="40.049999999999997" customHeight="1" x14ac:dyDescent="0.45">
      <c r="B4" s="113"/>
      <c r="C4" s="19" t="s">
        <v>465</v>
      </c>
      <c r="D4" s="169" t="s">
        <v>473</v>
      </c>
      <c r="E4" s="169"/>
      <c r="F4" s="169"/>
      <c r="G4" s="170"/>
      <c r="H4" s="171"/>
      <c r="I4" s="64"/>
    </row>
    <row r="5" spans="2:18" ht="60" customHeight="1" x14ac:dyDescent="0.45">
      <c r="B5" s="113"/>
      <c r="C5" s="19" t="s">
        <v>466</v>
      </c>
      <c r="D5" s="162" t="s">
        <v>530</v>
      </c>
      <c r="E5" s="162"/>
      <c r="F5" s="162"/>
      <c r="G5" s="163"/>
      <c r="H5" s="164"/>
      <c r="I5" s="64"/>
      <c r="M5" s="159" t="s">
        <v>20</v>
      </c>
      <c r="N5" s="159"/>
      <c r="O5" s="159"/>
      <c r="P5" s="159"/>
      <c r="Q5" s="159"/>
      <c r="R5" s="159"/>
    </row>
    <row r="6" spans="2:18" ht="28.5" customHeight="1" x14ac:dyDescent="0.45">
      <c r="B6" s="113"/>
      <c r="C6" s="172" t="s">
        <v>267</v>
      </c>
      <c r="D6" s="173"/>
      <c r="E6" s="173"/>
      <c r="F6" s="173"/>
      <c r="G6" s="173"/>
      <c r="H6" s="20" t="s">
        <v>259</v>
      </c>
      <c r="I6" s="64"/>
      <c r="K6" s="21" t="s">
        <v>31</v>
      </c>
      <c r="M6" s="160" t="s">
        <v>118</v>
      </c>
      <c r="N6" s="160"/>
      <c r="O6" s="160" t="s">
        <v>119</v>
      </c>
      <c r="P6" s="160"/>
      <c r="Q6" s="160" t="s">
        <v>120</v>
      </c>
      <c r="R6" s="160"/>
    </row>
    <row r="7" spans="2:18" ht="42" customHeight="1" x14ac:dyDescent="0.45">
      <c r="B7" s="113"/>
      <c r="C7" s="22" t="s">
        <v>179</v>
      </c>
      <c r="D7" s="165" t="s">
        <v>470</v>
      </c>
      <c r="E7" s="165"/>
      <c r="F7" s="165"/>
      <c r="G7" s="165"/>
      <c r="H7" s="81" t="s">
        <v>243</v>
      </c>
      <c r="I7" s="64"/>
      <c r="K7" s="23">
        <f>VLOOKUP(H7,AnswersGen[#All],2,FALSE)</f>
        <v>0</v>
      </c>
      <c r="M7" s="24">
        <v>1</v>
      </c>
      <c r="N7" s="25" t="b">
        <f>$K7=M7</f>
        <v>0</v>
      </c>
      <c r="O7" s="24">
        <v>1</v>
      </c>
      <c r="P7" s="25" t="b">
        <f>$K7=O7</f>
        <v>0</v>
      </c>
      <c r="Q7" s="24">
        <v>1</v>
      </c>
      <c r="R7" s="25" t="b">
        <f>$K7=Q7</f>
        <v>0</v>
      </c>
    </row>
    <row r="8" spans="2:18" ht="41" customHeight="1" collapsed="1" x14ac:dyDescent="0.45">
      <c r="B8" s="113"/>
      <c r="C8" s="26" t="s">
        <v>180</v>
      </c>
      <c r="D8" s="166" t="s">
        <v>469</v>
      </c>
      <c r="E8" s="166"/>
      <c r="F8" s="166"/>
      <c r="G8" s="166"/>
      <c r="H8" s="82" t="s">
        <v>243</v>
      </c>
      <c r="I8" s="64"/>
      <c r="K8" s="23">
        <f>VLOOKUP(H8,AnswersSE12[#All],2,FALSE)</f>
        <v>0</v>
      </c>
      <c r="M8" s="24">
        <v>1</v>
      </c>
      <c r="N8" s="25" t="b">
        <f>$K8&gt;=M8</f>
        <v>0</v>
      </c>
      <c r="O8" s="24">
        <v>2</v>
      </c>
      <c r="P8" s="25" t="b">
        <f>$K8&gt;=O8</f>
        <v>0</v>
      </c>
      <c r="Q8" s="24">
        <v>2</v>
      </c>
      <c r="R8" s="25" t="b">
        <f>$K8&gt;=Q8</f>
        <v>0</v>
      </c>
    </row>
    <row r="9" spans="2:18" ht="53" customHeight="1" collapsed="1" x14ac:dyDescent="0.45">
      <c r="B9" s="113"/>
      <c r="C9" s="22" t="s">
        <v>181</v>
      </c>
      <c r="D9" s="165" t="s">
        <v>468</v>
      </c>
      <c r="E9" s="165"/>
      <c r="F9" s="165"/>
      <c r="G9" s="165"/>
      <c r="H9" s="81" t="s">
        <v>243</v>
      </c>
      <c r="I9" s="64"/>
      <c r="K9" s="23">
        <f>VLOOKUP(H9,AnswersGen[#All],2,FALSE)</f>
        <v>0</v>
      </c>
      <c r="M9" s="24">
        <v>1</v>
      </c>
      <c r="N9" s="25" t="b">
        <f>$K9=M9</f>
        <v>0</v>
      </c>
      <c r="O9" s="24">
        <v>1</v>
      </c>
      <c r="P9" s="25" t="b">
        <f>$K9=O9</f>
        <v>0</v>
      </c>
      <c r="Q9" s="24">
        <v>1</v>
      </c>
      <c r="R9" s="25" t="b">
        <f>$K9=Q9</f>
        <v>0</v>
      </c>
    </row>
    <row r="10" spans="2:18" ht="43.5" customHeight="1" collapsed="1" x14ac:dyDescent="0.45">
      <c r="B10" s="113"/>
      <c r="C10" s="26" t="s">
        <v>152</v>
      </c>
      <c r="D10" s="200" t="s">
        <v>467</v>
      </c>
      <c r="E10" s="200"/>
      <c r="F10" s="200"/>
      <c r="G10" s="200"/>
      <c r="H10" s="86" t="s">
        <v>243</v>
      </c>
      <c r="I10" s="64"/>
      <c r="K10" s="23">
        <f>VLOOKUP(H10,AnswersNA[#All],2,FALSE)</f>
        <v>0</v>
      </c>
      <c r="M10" s="24"/>
      <c r="N10" s="25"/>
      <c r="O10" s="24"/>
      <c r="P10" s="25"/>
      <c r="Q10" s="24">
        <v>1</v>
      </c>
      <c r="R10" s="25" t="b">
        <f>$K10=Q10</f>
        <v>0</v>
      </c>
    </row>
    <row r="11" spans="2:18" ht="20" customHeight="1" collapsed="1" thickBot="1" x14ac:dyDescent="0.5">
      <c r="B11" s="113"/>
      <c r="C11" s="83" t="s">
        <v>500</v>
      </c>
      <c r="D11" s="32"/>
      <c r="E11" s="32"/>
      <c r="F11" s="32"/>
      <c r="G11" s="33" t="s">
        <v>476</v>
      </c>
      <c r="H11" s="84" t="str">
        <f>IF(OR(H7="",H8="",H9="",H10=""),"Answer all questions",IF(R11,VLOOKUP(3,PerfLevels[#All],2,FALSE),IF(P11,VLOOKUP(2,PerfLevels[#All],2,FALSE),IF(N11,VLOOKUP(1,PerfLevels[#All],2,FALSE),VLOOKUP(0,PerfLevels[#All],2,FALSE)))))</f>
        <v>Практика отсутствует</v>
      </c>
      <c r="I11" s="64"/>
      <c r="M11" s="27" t="s">
        <v>24</v>
      </c>
      <c r="N11" s="28" t="b">
        <f>AND(N7:N9)</f>
        <v>0</v>
      </c>
      <c r="O11" s="27" t="s">
        <v>24</v>
      </c>
      <c r="P11" s="28" t="b">
        <f>AND(P7:P9)</f>
        <v>0</v>
      </c>
      <c r="Q11" s="27" t="s">
        <v>24</v>
      </c>
      <c r="R11" s="28" t="b">
        <f>AND(R7:R10)</f>
        <v>0</v>
      </c>
    </row>
    <row r="12" spans="2:18" ht="10.050000000000001" customHeight="1" x14ac:dyDescent="0.45">
      <c r="B12" s="113"/>
      <c r="C12" s="64"/>
      <c r="D12" s="66"/>
      <c r="E12" s="66"/>
      <c r="F12" s="66"/>
      <c r="G12" s="66"/>
      <c r="H12" s="67"/>
      <c r="I12" s="64"/>
      <c r="M12" s="27" t="s">
        <v>26</v>
      </c>
      <c r="N12" s="29">
        <f>VLOOKUP(1,PerfLevels[#All],3,FALSE)</f>
        <v>7</v>
      </c>
      <c r="O12" s="27" t="s">
        <v>26</v>
      </c>
      <c r="P12" s="29">
        <f>VLOOKUP(2,PerfLevels[#All],3,FALSE)</f>
        <v>14</v>
      </c>
      <c r="Q12" s="27" t="s">
        <v>26</v>
      </c>
      <c r="R12" s="29">
        <f>VLOOKUP(3,PerfLevels[#All],3,FALSE)</f>
        <v>21</v>
      </c>
    </row>
    <row r="13" spans="2:18" ht="10.050000000000001" customHeight="1" thickBot="1" x14ac:dyDescent="0.5">
      <c r="B13" s="113"/>
      <c r="C13" s="64"/>
      <c r="D13" s="66"/>
      <c r="E13" s="66"/>
      <c r="F13" s="66"/>
      <c r="G13" s="66"/>
      <c r="H13" s="67"/>
      <c r="I13" s="64"/>
      <c r="M13" s="27" t="s">
        <v>240</v>
      </c>
      <c r="N13" s="29">
        <v>0</v>
      </c>
      <c r="O13" s="27" t="s">
        <v>240</v>
      </c>
      <c r="P13" s="29">
        <v>0</v>
      </c>
    </row>
    <row r="14" spans="2:18" ht="30" customHeight="1" thickBot="1" x14ac:dyDescent="0.5">
      <c r="B14" s="113"/>
      <c r="C14" s="18" t="s">
        <v>258</v>
      </c>
      <c r="D14" s="167" t="s">
        <v>501</v>
      </c>
      <c r="E14" s="167"/>
      <c r="F14" s="167"/>
      <c r="G14" s="167"/>
      <c r="H14" s="168"/>
      <c r="I14" s="64"/>
      <c r="M14" s="34" t="s">
        <v>151</v>
      </c>
      <c r="N14" s="133">
        <f>IF(R11,R12,IF(P11,P12+P13,IF(N11,N12+N13,0)))</f>
        <v>0</v>
      </c>
    </row>
    <row r="15" spans="2:18" ht="27" customHeight="1" x14ac:dyDescent="0.45">
      <c r="B15" s="113"/>
      <c r="C15" s="19" t="s">
        <v>465</v>
      </c>
      <c r="D15" s="169" t="s">
        <v>503</v>
      </c>
      <c r="E15" s="169"/>
      <c r="F15" s="169"/>
      <c r="G15" s="170"/>
      <c r="H15" s="171"/>
      <c r="I15" s="64"/>
    </row>
    <row r="16" spans="2:18" ht="60" customHeight="1" x14ac:dyDescent="0.45">
      <c r="B16" s="113"/>
      <c r="C16" s="19" t="s">
        <v>466</v>
      </c>
      <c r="D16" s="162" t="s">
        <v>530</v>
      </c>
      <c r="E16" s="162"/>
      <c r="F16" s="162"/>
      <c r="G16" s="163"/>
      <c r="H16" s="164"/>
      <c r="I16" s="64"/>
      <c r="M16" s="159" t="s">
        <v>20</v>
      </c>
      <c r="N16" s="159"/>
      <c r="O16" s="159"/>
      <c r="P16" s="159"/>
      <c r="Q16" s="159"/>
      <c r="R16" s="159"/>
    </row>
    <row r="17" spans="2:18" ht="28.5" customHeight="1" x14ac:dyDescent="0.45">
      <c r="B17" s="113"/>
      <c r="C17" s="172" t="s">
        <v>267</v>
      </c>
      <c r="D17" s="173"/>
      <c r="E17" s="173"/>
      <c r="F17" s="173"/>
      <c r="G17" s="173"/>
      <c r="H17" s="20" t="s">
        <v>259</v>
      </c>
      <c r="I17" s="64"/>
      <c r="K17" s="21" t="s">
        <v>31</v>
      </c>
      <c r="M17" s="160" t="s">
        <v>118</v>
      </c>
      <c r="N17" s="160"/>
      <c r="O17" s="160" t="s">
        <v>119</v>
      </c>
      <c r="P17" s="160"/>
      <c r="Q17" s="160" t="s">
        <v>120</v>
      </c>
      <c r="R17" s="160"/>
    </row>
    <row r="18" spans="2:18" ht="40.049999999999997" customHeight="1" x14ac:dyDescent="0.45">
      <c r="B18" s="113"/>
      <c r="C18" s="22" t="s">
        <v>182</v>
      </c>
      <c r="D18" s="165" t="s">
        <v>508</v>
      </c>
      <c r="E18" s="165"/>
      <c r="F18" s="165"/>
      <c r="G18" s="165"/>
      <c r="H18" s="81" t="s">
        <v>243</v>
      </c>
      <c r="I18" s="64"/>
      <c r="K18" s="23">
        <f>VLOOKUP(H18,AnswersGen[#All],2,FALSE)</f>
        <v>0</v>
      </c>
      <c r="M18" s="24">
        <v>1</v>
      </c>
      <c r="N18" s="25" t="b">
        <f>$K18=M18</f>
        <v>0</v>
      </c>
      <c r="O18" s="24">
        <v>1</v>
      </c>
      <c r="P18" s="25" t="b">
        <f>$K18=O18</f>
        <v>0</v>
      </c>
      <c r="Q18" s="24">
        <v>1</v>
      </c>
      <c r="R18" s="25" t="b">
        <f>$K18=Q18</f>
        <v>0</v>
      </c>
    </row>
    <row r="19" spans="2:18" ht="40.049999999999997" customHeight="1" collapsed="1" x14ac:dyDescent="0.45">
      <c r="B19" s="113"/>
      <c r="C19" s="26" t="s">
        <v>183</v>
      </c>
      <c r="D19" s="166" t="s">
        <v>507</v>
      </c>
      <c r="E19" s="166"/>
      <c r="F19" s="166"/>
      <c r="G19" s="166"/>
      <c r="H19" s="86" t="s">
        <v>243</v>
      </c>
      <c r="I19" s="64"/>
      <c r="K19" s="23">
        <f>VLOOKUP(H19,AnswersGen[#All],2,FALSE)</f>
        <v>0</v>
      </c>
      <c r="M19" s="24">
        <v>1</v>
      </c>
      <c r="N19" s="25" t="b">
        <f>$K19=M19</f>
        <v>0</v>
      </c>
      <c r="O19" s="24">
        <v>1</v>
      </c>
      <c r="P19" s="25" t="b">
        <f>$K19=O19</f>
        <v>0</v>
      </c>
      <c r="Q19" s="24">
        <v>1</v>
      </c>
      <c r="R19" s="25" t="b">
        <f>$K19=Q19</f>
        <v>0</v>
      </c>
    </row>
    <row r="20" spans="2:18" ht="60" customHeight="1" collapsed="1" x14ac:dyDescent="0.45">
      <c r="B20" s="113"/>
      <c r="C20" s="22" t="s">
        <v>184</v>
      </c>
      <c r="D20" s="165" t="s">
        <v>506</v>
      </c>
      <c r="E20" s="165"/>
      <c r="F20" s="165"/>
      <c r="G20" s="165"/>
      <c r="H20" s="81" t="s">
        <v>243</v>
      </c>
      <c r="I20" s="64"/>
      <c r="K20" s="23">
        <f>VLOOKUP(H20,AnswersGen[#All],2,FALSE)</f>
        <v>0</v>
      </c>
      <c r="M20" s="24">
        <v>1</v>
      </c>
      <c r="N20" s="25" t="b">
        <f>$K20=M20</f>
        <v>0</v>
      </c>
      <c r="O20" s="24">
        <v>1</v>
      </c>
      <c r="P20" s="25" t="b">
        <f>$K20=O20</f>
        <v>0</v>
      </c>
      <c r="Q20" s="24">
        <v>1</v>
      </c>
      <c r="R20" s="25" t="b">
        <f>$K20=Q20</f>
        <v>0</v>
      </c>
    </row>
    <row r="21" spans="2:18" ht="40.049999999999997" customHeight="1" collapsed="1" x14ac:dyDescent="0.45">
      <c r="B21" s="113"/>
      <c r="C21" s="26" t="s">
        <v>94</v>
      </c>
      <c r="D21" s="166" t="s">
        <v>505</v>
      </c>
      <c r="E21" s="166"/>
      <c r="F21" s="166"/>
      <c r="G21" s="166"/>
      <c r="H21" s="86" t="s">
        <v>243</v>
      </c>
      <c r="I21" s="64"/>
      <c r="K21" s="23">
        <f>VLOOKUP(H21,AnswersGen[#All],2,FALSE)</f>
        <v>0</v>
      </c>
      <c r="M21" s="24">
        <v>1</v>
      </c>
      <c r="N21" s="25" t="b">
        <f t="shared" ref="N21:N22" si="0">$K21=M21</f>
        <v>0</v>
      </c>
      <c r="O21" s="24">
        <v>1</v>
      </c>
      <c r="P21" s="25" t="b">
        <f>$K21=O21</f>
        <v>0</v>
      </c>
      <c r="Q21" s="24">
        <v>1</v>
      </c>
      <c r="R21" s="25" t="b">
        <f>$K21=Q21</f>
        <v>0</v>
      </c>
    </row>
    <row r="22" spans="2:18" ht="40.049999999999997" customHeight="1" collapsed="1" x14ac:dyDescent="0.45">
      <c r="B22" s="113"/>
      <c r="C22" s="55" t="s">
        <v>150</v>
      </c>
      <c r="D22" s="180" t="s">
        <v>504</v>
      </c>
      <c r="E22" s="181"/>
      <c r="F22" s="181"/>
      <c r="G22" s="182"/>
      <c r="H22" s="81" t="s">
        <v>243</v>
      </c>
      <c r="I22" s="64"/>
      <c r="K22" s="23">
        <f>VLOOKUP(H22,AnswersGen[#All],2,FALSE)</f>
        <v>0</v>
      </c>
      <c r="M22" s="24">
        <v>1</v>
      </c>
      <c r="N22" s="25" t="b">
        <f t="shared" si="0"/>
        <v>0</v>
      </c>
      <c r="O22" s="24">
        <v>1</v>
      </c>
      <c r="P22" s="25" t="b">
        <f>$K22=O22</f>
        <v>0</v>
      </c>
      <c r="Q22" s="24">
        <v>1</v>
      </c>
      <c r="R22" s="25" t="b">
        <f>$K22=Q22</f>
        <v>0</v>
      </c>
    </row>
    <row r="23" spans="2:18" ht="20" customHeight="1" collapsed="1" thickBot="1" x14ac:dyDescent="0.5">
      <c r="B23" s="113"/>
      <c r="C23" s="83" t="s">
        <v>500</v>
      </c>
      <c r="D23" s="32"/>
      <c r="E23" s="32"/>
      <c r="F23" s="32"/>
      <c r="G23" s="33" t="s">
        <v>477</v>
      </c>
      <c r="H23" s="84" t="str">
        <f>IF(OR(H18="",H19="",H20="",H21="",H22=""),"Answer all questions",IF(R23,VLOOKUP(3,PerfLevels[#All],2,FALSE),IF(P23,VLOOKUP(2,PerfLevels[#All],2,FALSE),IF(N23,VLOOKUP(1,PerfLevels[#All],2,FALSE),VLOOKUP(0,PerfLevels[#All],2,FALSE)))))</f>
        <v>Практика отсутствует</v>
      </c>
      <c r="I23" s="64"/>
      <c r="M23" s="27" t="s">
        <v>24</v>
      </c>
      <c r="N23" s="28" t="b">
        <f>AND(N18:N20)</f>
        <v>0</v>
      </c>
      <c r="O23" s="27" t="s">
        <v>24</v>
      </c>
      <c r="P23" s="28" t="b">
        <f>AND(P18:P21)</f>
        <v>0</v>
      </c>
      <c r="Q23" s="27" t="s">
        <v>24</v>
      </c>
      <c r="R23" s="28" t="b">
        <f>AND(R18:R22)</f>
        <v>0</v>
      </c>
    </row>
    <row r="24" spans="2:18" ht="10.050000000000001" customHeight="1" x14ac:dyDescent="0.45">
      <c r="B24" s="113"/>
      <c r="C24" s="64"/>
      <c r="D24" s="66"/>
      <c r="E24" s="66"/>
      <c r="F24" s="66"/>
      <c r="G24" s="66"/>
      <c r="H24" s="67"/>
      <c r="I24" s="64"/>
      <c r="M24" s="27" t="s">
        <v>26</v>
      </c>
      <c r="N24" s="29">
        <f>VLOOKUP(1,PerfLevels[#All],3,FALSE)</f>
        <v>7</v>
      </c>
      <c r="O24" s="27" t="s">
        <v>26</v>
      </c>
      <c r="P24" s="29">
        <f>VLOOKUP(2,PerfLevels[#All],3,FALSE)</f>
        <v>14</v>
      </c>
      <c r="Q24" s="27" t="s">
        <v>26</v>
      </c>
      <c r="R24" s="29">
        <f>VLOOKUP(3,PerfLevels[#All],3,FALSE)</f>
        <v>21</v>
      </c>
    </row>
    <row r="25" spans="2:18" ht="10.050000000000001" customHeight="1" thickBot="1" x14ac:dyDescent="0.5">
      <c r="B25" s="113"/>
      <c r="C25" s="64"/>
      <c r="D25" s="66"/>
      <c r="E25" s="66"/>
      <c r="F25" s="66"/>
      <c r="G25" s="66"/>
      <c r="H25" s="67"/>
      <c r="I25" s="64"/>
      <c r="M25" s="27" t="s">
        <v>240</v>
      </c>
      <c r="N25" s="29">
        <f>COUNTIF(N21:N22,TRUE)</f>
        <v>0</v>
      </c>
      <c r="O25" s="27" t="s">
        <v>240</v>
      </c>
      <c r="P25" s="29">
        <f>COUNTIF(P22,TRUE)</f>
        <v>0</v>
      </c>
    </row>
    <row r="26" spans="2:18" ht="30.5" customHeight="1" thickBot="1" x14ac:dyDescent="0.5">
      <c r="B26" s="113"/>
      <c r="C26" s="18" t="s">
        <v>258</v>
      </c>
      <c r="D26" s="167" t="s">
        <v>509</v>
      </c>
      <c r="E26" s="167"/>
      <c r="F26" s="167"/>
      <c r="G26" s="167"/>
      <c r="H26" s="168"/>
      <c r="I26" s="64"/>
      <c r="M26" s="34" t="s">
        <v>95</v>
      </c>
      <c r="N26" s="133">
        <f>IF(R23,R24,IF(P23,P24+P25,IF(N23,N24+N25,0)))</f>
        <v>0</v>
      </c>
      <c r="O26" s="108"/>
      <c r="P26" s="108"/>
      <c r="Q26" s="108"/>
      <c r="R26" s="108"/>
    </row>
    <row r="27" spans="2:18" ht="27" customHeight="1" x14ac:dyDescent="0.45">
      <c r="B27" s="113"/>
      <c r="C27" s="19" t="s">
        <v>465</v>
      </c>
      <c r="D27" s="169" t="s">
        <v>511</v>
      </c>
      <c r="E27" s="169"/>
      <c r="F27" s="169"/>
      <c r="G27" s="170"/>
      <c r="H27" s="171"/>
      <c r="I27" s="64"/>
      <c r="M27" s="38"/>
      <c r="N27" s="38"/>
      <c r="O27" s="38"/>
      <c r="P27" s="38"/>
      <c r="Q27" s="38"/>
      <c r="R27" s="38"/>
    </row>
    <row r="28" spans="2:18" ht="60" customHeight="1" x14ac:dyDescent="0.45">
      <c r="B28" s="113"/>
      <c r="C28" s="19" t="s">
        <v>466</v>
      </c>
      <c r="D28" s="162" t="s">
        <v>529</v>
      </c>
      <c r="E28" s="162"/>
      <c r="F28" s="162"/>
      <c r="G28" s="163"/>
      <c r="H28" s="164"/>
      <c r="I28" s="64"/>
      <c r="M28" s="159" t="s">
        <v>20</v>
      </c>
      <c r="N28" s="159"/>
      <c r="O28" s="159"/>
      <c r="P28" s="159"/>
      <c r="Q28" s="159"/>
      <c r="R28" s="159"/>
    </row>
    <row r="29" spans="2:18" ht="28.5" customHeight="1" x14ac:dyDescent="0.45">
      <c r="B29" s="113"/>
      <c r="C29" s="172" t="s">
        <v>267</v>
      </c>
      <c r="D29" s="173"/>
      <c r="E29" s="173"/>
      <c r="F29" s="173"/>
      <c r="G29" s="173"/>
      <c r="H29" s="20" t="s">
        <v>259</v>
      </c>
      <c r="I29" s="64"/>
      <c r="K29" s="21" t="s">
        <v>31</v>
      </c>
      <c r="M29" s="160" t="s">
        <v>118</v>
      </c>
      <c r="N29" s="160"/>
      <c r="O29" s="160" t="s">
        <v>119</v>
      </c>
      <c r="P29" s="160"/>
      <c r="Q29" s="160" t="s">
        <v>120</v>
      </c>
      <c r="R29" s="160"/>
    </row>
    <row r="30" spans="2:18" ht="40.049999999999997" customHeight="1" x14ac:dyDescent="0.45">
      <c r="B30" s="113"/>
      <c r="C30" s="22" t="s">
        <v>185</v>
      </c>
      <c r="D30" s="165" t="s">
        <v>512</v>
      </c>
      <c r="E30" s="165"/>
      <c r="F30" s="165"/>
      <c r="G30" s="165"/>
      <c r="H30" s="81" t="s">
        <v>243</v>
      </c>
      <c r="I30" s="64"/>
      <c r="K30" s="23">
        <f>VLOOKUP(H30,AnswersGen[#All],2,FALSE)</f>
        <v>0</v>
      </c>
      <c r="M30" s="24">
        <v>1</v>
      </c>
      <c r="N30" s="25" t="b">
        <f>$K30=M30</f>
        <v>0</v>
      </c>
      <c r="O30" s="24">
        <v>1</v>
      </c>
      <c r="P30" s="25" t="b">
        <f>$K30=O30</f>
        <v>0</v>
      </c>
      <c r="Q30" s="24">
        <v>1</v>
      </c>
      <c r="R30" s="25" t="b">
        <f>$K30=Q30</f>
        <v>0</v>
      </c>
    </row>
    <row r="31" spans="2:18" ht="40.049999999999997" customHeight="1" collapsed="1" x14ac:dyDescent="0.45">
      <c r="B31" s="113"/>
      <c r="C31" s="26" t="s">
        <v>96</v>
      </c>
      <c r="D31" s="166" t="s">
        <v>513</v>
      </c>
      <c r="E31" s="166"/>
      <c r="F31" s="166"/>
      <c r="G31" s="166"/>
      <c r="H31" s="86" t="s">
        <v>243</v>
      </c>
      <c r="I31" s="64"/>
      <c r="K31" s="23">
        <f>VLOOKUP(H31,AnswersGen[#All],2,FALSE)</f>
        <v>0</v>
      </c>
      <c r="M31" s="24">
        <v>1</v>
      </c>
      <c r="N31" s="25" t="b">
        <f t="shared" ref="N31:N32" si="1">$K31=M31</f>
        <v>0</v>
      </c>
      <c r="O31" s="24">
        <v>1</v>
      </c>
      <c r="P31" s="25" t="b">
        <f>$K31=O31</f>
        <v>0</v>
      </c>
      <c r="Q31" s="24">
        <v>1</v>
      </c>
      <c r="R31" s="25" t="b">
        <f>$K31=Q31</f>
        <v>0</v>
      </c>
    </row>
    <row r="32" spans="2:18" ht="32" customHeight="1" x14ac:dyDescent="0.45">
      <c r="B32" s="113"/>
      <c r="C32" s="22" t="s">
        <v>97</v>
      </c>
      <c r="D32" s="165" t="s">
        <v>514</v>
      </c>
      <c r="E32" s="165"/>
      <c r="F32" s="165"/>
      <c r="G32" s="165"/>
      <c r="H32" s="81" t="s">
        <v>243</v>
      </c>
      <c r="I32" s="64"/>
      <c r="K32" s="23">
        <f>VLOOKUP(H32,AnswersGen[#All],2,FALSE)</f>
        <v>0</v>
      </c>
      <c r="M32" s="24">
        <v>1</v>
      </c>
      <c r="N32" s="25" t="b">
        <f t="shared" si="1"/>
        <v>0</v>
      </c>
      <c r="O32" s="24">
        <v>1</v>
      </c>
      <c r="P32" s="25" t="b">
        <f>$K32=O32</f>
        <v>0</v>
      </c>
      <c r="Q32" s="24">
        <v>1</v>
      </c>
      <c r="R32" s="25" t="b">
        <f>$K32=Q32</f>
        <v>0</v>
      </c>
    </row>
    <row r="33" spans="2:19" ht="20" customHeight="1" thickBot="1" x14ac:dyDescent="0.5">
      <c r="B33" s="113"/>
      <c r="C33" s="83" t="s">
        <v>500</v>
      </c>
      <c r="D33" s="32"/>
      <c r="E33" s="32"/>
      <c r="F33" s="32"/>
      <c r="G33" s="33" t="s">
        <v>478</v>
      </c>
      <c r="H33" s="84" t="str">
        <f>IF(OR(H30="",H31="",H32=""),"Answer all questions",IF(R33,VLOOKUP(3,PerfLevels[#All],2,FALSE),IF(P33,VLOOKUP(2,PerfLevels[#All],2,FALSE),IF(N33,VLOOKUP(1,PerfLevels[#All],2,FALSE),VLOOKUP(0,PerfLevels[#All],2,FALSE)))))</f>
        <v>Практика отсутствует</v>
      </c>
      <c r="I33" s="64"/>
      <c r="M33" s="27" t="s">
        <v>24</v>
      </c>
      <c r="N33" s="28" t="b">
        <f>AND(N30)</f>
        <v>0</v>
      </c>
      <c r="O33" s="27" t="s">
        <v>24</v>
      </c>
      <c r="P33" s="28" t="b">
        <f>AND(P30:P31)</f>
        <v>0</v>
      </c>
      <c r="Q33" s="27" t="s">
        <v>24</v>
      </c>
      <c r="R33" s="28" t="b">
        <f>AND(R30:R32)</f>
        <v>0</v>
      </c>
    </row>
    <row r="34" spans="2:19" ht="10.050000000000001" customHeight="1" x14ac:dyDescent="0.45">
      <c r="B34" s="113"/>
      <c r="C34" s="64"/>
      <c r="D34" s="66"/>
      <c r="E34" s="66"/>
      <c r="F34" s="66"/>
      <c r="G34" s="66"/>
      <c r="H34" s="67"/>
      <c r="I34" s="64"/>
      <c r="M34" s="27" t="s">
        <v>26</v>
      </c>
      <c r="N34" s="29">
        <f>VLOOKUP(1,PerfLevels[#All],3,FALSE)</f>
        <v>7</v>
      </c>
      <c r="O34" s="27" t="s">
        <v>26</v>
      </c>
      <c r="P34" s="29">
        <f>VLOOKUP(2,PerfLevels[#All],3,FALSE)</f>
        <v>14</v>
      </c>
      <c r="Q34" s="27" t="s">
        <v>26</v>
      </c>
      <c r="R34" s="29">
        <f>VLOOKUP(3,PerfLevels[#All],3,FALSE)</f>
        <v>21</v>
      </c>
    </row>
    <row r="35" spans="2:19" ht="10.050000000000001" customHeight="1" thickBot="1" x14ac:dyDescent="0.5">
      <c r="B35" s="113"/>
      <c r="C35" s="64"/>
      <c r="D35" s="66"/>
      <c r="E35" s="66"/>
      <c r="F35" s="66"/>
      <c r="G35" s="66"/>
      <c r="H35" s="67"/>
      <c r="I35" s="64"/>
      <c r="M35" s="27" t="s">
        <v>240</v>
      </c>
      <c r="N35" s="29">
        <f>COUNTIF(N31:N32,TRUE)</f>
        <v>0</v>
      </c>
      <c r="O35" s="27" t="s">
        <v>240</v>
      </c>
      <c r="P35" s="29">
        <f>COUNTIF(P32,TRUE)</f>
        <v>0</v>
      </c>
    </row>
    <row r="36" spans="2:19" ht="30" customHeight="1" thickBot="1" x14ac:dyDescent="0.5">
      <c r="B36" s="113"/>
      <c r="C36" s="18" t="s">
        <v>258</v>
      </c>
      <c r="D36" s="167" t="s">
        <v>515</v>
      </c>
      <c r="E36" s="167"/>
      <c r="F36" s="167"/>
      <c r="G36" s="167"/>
      <c r="H36" s="168"/>
      <c r="I36" s="64"/>
      <c r="M36" s="34" t="s">
        <v>98</v>
      </c>
      <c r="N36" s="133">
        <f>IF(R33,R34,IF(P33,P34+P35,IF(N33,N34+N35,0)))</f>
        <v>0</v>
      </c>
    </row>
    <row r="37" spans="2:19" ht="29" customHeight="1" x14ac:dyDescent="0.45">
      <c r="B37" s="113"/>
      <c r="C37" s="19" t="s">
        <v>465</v>
      </c>
      <c r="D37" s="169" t="s">
        <v>517</v>
      </c>
      <c r="E37" s="170"/>
      <c r="F37" s="170"/>
      <c r="G37" s="170"/>
      <c r="H37" s="171"/>
      <c r="I37" s="64"/>
    </row>
    <row r="38" spans="2:19" ht="60" customHeight="1" x14ac:dyDescent="0.45">
      <c r="B38" s="113"/>
      <c r="C38" s="19" t="s">
        <v>466</v>
      </c>
      <c r="D38" s="162" t="s">
        <v>518</v>
      </c>
      <c r="E38" s="162"/>
      <c r="F38" s="162"/>
      <c r="G38" s="163"/>
      <c r="H38" s="164"/>
      <c r="I38" s="64"/>
      <c r="M38" s="159" t="s">
        <v>20</v>
      </c>
      <c r="N38" s="159"/>
      <c r="O38" s="159"/>
      <c r="P38" s="159"/>
      <c r="Q38" s="159"/>
      <c r="R38" s="159"/>
    </row>
    <row r="39" spans="2:19" ht="28.05" customHeight="1" x14ac:dyDescent="0.45">
      <c r="B39" s="113"/>
      <c r="C39" s="172" t="s">
        <v>267</v>
      </c>
      <c r="D39" s="173"/>
      <c r="E39" s="173"/>
      <c r="F39" s="173"/>
      <c r="G39" s="173"/>
      <c r="H39" s="20" t="s">
        <v>259</v>
      </c>
      <c r="I39" s="64"/>
      <c r="K39" s="21" t="s">
        <v>31</v>
      </c>
      <c r="M39" s="160" t="s">
        <v>118</v>
      </c>
      <c r="N39" s="160"/>
      <c r="O39" s="160" t="s">
        <v>119</v>
      </c>
      <c r="P39" s="160"/>
      <c r="Q39" s="160" t="s">
        <v>120</v>
      </c>
      <c r="R39" s="160"/>
    </row>
    <row r="40" spans="2:19" ht="29.55" customHeight="1" x14ac:dyDescent="0.45">
      <c r="B40" s="113"/>
      <c r="C40" s="22" t="s">
        <v>99</v>
      </c>
      <c r="D40" s="165" t="s">
        <v>519</v>
      </c>
      <c r="E40" s="165"/>
      <c r="F40" s="165"/>
      <c r="G40" s="165"/>
      <c r="H40" s="81" t="s">
        <v>243</v>
      </c>
      <c r="I40" s="64"/>
      <c r="K40" s="23">
        <f>VLOOKUP(H40,AnswersGen[#All],2,FALSE)</f>
        <v>0</v>
      </c>
      <c r="M40" s="24">
        <v>1</v>
      </c>
      <c r="N40" s="25" t="b">
        <f>$K40=M40</f>
        <v>0</v>
      </c>
      <c r="O40" s="24">
        <v>1</v>
      </c>
      <c r="P40" s="25" t="b">
        <f>$K40=O40</f>
        <v>0</v>
      </c>
      <c r="Q40" s="24">
        <v>1</v>
      </c>
      <c r="R40" s="25" t="b">
        <f>$K40=Q40</f>
        <v>0</v>
      </c>
    </row>
    <row r="41" spans="2:19" ht="29.55" customHeight="1" x14ac:dyDescent="0.45">
      <c r="B41" s="113"/>
      <c r="C41" s="26" t="s">
        <v>100</v>
      </c>
      <c r="D41" s="166" t="s">
        <v>520</v>
      </c>
      <c r="E41" s="166"/>
      <c r="F41" s="166"/>
      <c r="G41" s="166"/>
      <c r="H41" s="86" t="s">
        <v>243</v>
      </c>
      <c r="I41" s="64"/>
      <c r="K41" s="23">
        <f>VLOOKUP(H41,AnswersGen[#All],2,FALSE)</f>
        <v>0</v>
      </c>
      <c r="M41" s="24">
        <v>1</v>
      </c>
      <c r="N41" s="25" t="b">
        <f t="shared" ref="N41:N42" si="2">$K41=M41</f>
        <v>0</v>
      </c>
      <c r="O41" s="24">
        <v>1</v>
      </c>
      <c r="P41" s="25" t="b">
        <f>$K41=O41</f>
        <v>0</v>
      </c>
      <c r="Q41" s="24">
        <v>1</v>
      </c>
      <c r="R41" s="25" t="b">
        <f>$K41=Q41</f>
        <v>0</v>
      </c>
    </row>
    <row r="42" spans="2:19" ht="29.55" customHeight="1" x14ac:dyDescent="0.45">
      <c r="B42" s="113"/>
      <c r="C42" s="22" t="s">
        <v>101</v>
      </c>
      <c r="D42" s="165" t="s">
        <v>521</v>
      </c>
      <c r="E42" s="165"/>
      <c r="F42" s="165"/>
      <c r="G42" s="165"/>
      <c r="H42" s="81" t="s">
        <v>243</v>
      </c>
      <c r="I42" s="64"/>
      <c r="K42" s="23">
        <f>VLOOKUP(H42,AnswersGen[#All],2,FALSE)</f>
        <v>0</v>
      </c>
      <c r="M42" s="24">
        <v>1</v>
      </c>
      <c r="N42" s="25" t="b">
        <f t="shared" si="2"/>
        <v>0</v>
      </c>
      <c r="O42" s="24">
        <v>1</v>
      </c>
      <c r="P42" s="25" t="b">
        <f>$K42=O42</f>
        <v>0</v>
      </c>
      <c r="Q42" s="24">
        <v>1</v>
      </c>
      <c r="R42" s="25" t="b">
        <f>$K42=Q42</f>
        <v>0</v>
      </c>
    </row>
    <row r="43" spans="2:19" ht="20" customHeight="1" thickBot="1" x14ac:dyDescent="0.5">
      <c r="B43" s="113"/>
      <c r="C43" s="83"/>
      <c r="D43" s="32"/>
      <c r="E43" s="32"/>
      <c r="F43" s="32"/>
      <c r="G43" s="33" t="s">
        <v>479</v>
      </c>
      <c r="H43" s="84" t="str">
        <f>IF(OR(H40="",H41="",H42=""),"Answer all questions",IF(R43,VLOOKUP(3,PerfLevels[#All],2,FALSE),IF(P43,VLOOKUP(2,PerfLevels[#All],2,FALSE),IF(N43,VLOOKUP(1,PerfLevels[#All],2,FALSE),VLOOKUP(0,PerfLevels[#All],2,FALSE)))))</f>
        <v>Практика отсутствует</v>
      </c>
      <c r="I43" s="64"/>
      <c r="M43" s="27" t="s">
        <v>24</v>
      </c>
      <c r="N43" s="28" t="b">
        <f>AND(N40)</f>
        <v>0</v>
      </c>
      <c r="O43" s="27" t="s">
        <v>24</v>
      </c>
      <c r="P43" s="28" t="b">
        <f>AND(P40:P41)</f>
        <v>0</v>
      </c>
      <c r="Q43" s="27" t="s">
        <v>24</v>
      </c>
      <c r="R43" s="28" t="b">
        <f>AND(R40:R42)</f>
        <v>0</v>
      </c>
    </row>
    <row r="44" spans="2:19" ht="10.050000000000001" customHeight="1" x14ac:dyDescent="0.45">
      <c r="B44" s="113"/>
      <c r="C44" s="64"/>
      <c r="D44" s="64"/>
      <c r="E44" s="64"/>
      <c r="F44" s="64"/>
      <c r="G44" s="65"/>
      <c r="H44" s="65"/>
      <c r="I44" s="64"/>
      <c r="M44" s="27" t="s">
        <v>26</v>
      </c>
      <c r="N44" s="29">
        <f>VLOOKUP(1,PerfLevels[#All],3,FALSE)</f>
        <v>7</v>
      </c>
      <c r="O44" s="27" t="s">
        <v>26</v>
      </c>
      <c r="P44" s="29">
        <f>VLOOKUP(2,PerfLevels[#All],3,FALSE)</f>
        <v>14</v>
      </c>
      <c r="Q44" s="27" t="s">
        <v>26</v>
      </c>
      <c r="R44" s="29">
        <f>VLOOKUP(3,PerfLevels[#All],3,FALSE)</f>
        <v>21</v>
      </c>
      <c r="S44" s="38"/>
    </row>
    <row r="45" spans="2:19" ht="10.050000000000001" customHeight="1" thickBot="1" x14ac:dyDescent="0.5">
      <c r="B45" s="113"/>
      <c r="C45" s="64"/>
      <c r="D45" s="64"/>
      <c r="E45" s="64"/>
      <c r="F45" s="64"/>
      <c r="G45" s="65"/>
      <c r="H45" s="65"/>
      <c r="I45" s="64"/>
      <c r="M45" s="27" t="s">
        <v>240</v>
      </c>
      <c r="N45" s="29">
        <f>COUNTIF(N41:N42,TRUE)</f>
        <v>0</v>
      </c>
      <c r="O45" s="27" t="s">
        <v>240</v>
      </c>
      <c r="P45" s="29">
        <f>COUNTIF(P42,TRUE)</f>
        <v>0</v>
      </c>
    </row>
    <row r="46" spans="2:19" ht="27" customHeight="1" thickBot="1" x14ac:dyDescent="0.5">
      <c r="M46" s="34" t="s">
        <v>102</v>
      </c>
      <c r="N46" s="133">
        <f>IF(R43,R44,IF(P43,P44+P45,IF(N43,N44+N45,0)))</f>
        <v>0</v>
      </c>
    </row>
    <row r="47" spans="2:19" ht="20.55" customHeight="1" x14ac:dyDescent="0.45">
      <c r="Q47" s="38"/>
    </row>
    <row r="48" spans="2:19" ht="20.55" customHeight="1" thickBot="1" x14ac:dyDescent="0.5">
      <c r="Q48" s="39" t="s">
        <v>32</v>
      </c>
      <c r="R48" s="40">
        <f>SUM(R12,R24,R34,R44)</f>
        <v>84</v>
      </c>
    </row>
    <row r="49" spans="13:18" ht="27" customHeight="1" x14ac:dyDescent="0.45">
      <c r="M49" s="41" t="s">
        <v>114</v>
      </c>
      <c r="N49" s="42"/>
      <c r="R49" s="38"/>
    </row>
    <row r="50" spans="13:18" ht="27" customHeight="1" thickBot="1" x14ac:dyDescent="0.5">
      <c r="M50" s="8">
        <f>SUM(N14,N26,N36,N46)</f>
        <v>0</v>
      </c>
      <c r="N50" s="9"/>
    </row>
  </sheetData>
  <sheetProtection algorithmName="SHA-512" hashValue="pFYRYLrPts589HooT0M/MEYoUNvWo9Xw6XYUlE3YQ7WSZexbhtCow3JpQ5cfRuIcpehBu9IibnoFJTZNqYwl7w==" saltValue="MZpiAGjL5UYSNocSI8XRfA==" spinCount="100000" sheet="1" objects="1" scenarios="1"/>
  <mergeCells count="49">
    <mergeCell ref="D41:G41"/>
    <mergeCell ref="D42:G42"/>
    <mergeCell ref="D40:G40"/>
    <mergeCell ref="D21:G21"/>
    <mergeCell ref="D22:G22"/>
    <mergeCell ref="D28:H28"/>
    <mergeCell ref="C29:G29"/>
    <mergeCell ref="D30:G30"/>
    <mergeCell ref="D31:G31"/>
    <mergeCell ref="D32:G32"/>
    <mergeCell ref="D37:H37"/>
    <mergeCell ref="D38:H38"/>
    <mergeCell ref="C39:G39"/>
    <mergeCell ref="M38:R38"/>
    <mergeCell ref="D36:H36"/>
    <mergeCell ref="M39:N39"/>
    <mergeCell ref="O39:P39"/>
    <mergeCell ref="Q39:R39"/>
    <mergeCell ref="M28:R28"/>
    <mergeCell ref="M29:N29"/>
    <mergeCell ref="O29:P29"/>
    <mergeCell ref="Q29:R29"/>
    <mergeCell ref="D26:H26"/>
    <mergeCell ref="D27:H27"/>
    <mergeCell ref="M16:R16"/>
    <mergeCell ref="D16:H16"/>
    <mergeCell ref="C17:G17"/>
    <mergeCell ref="M17:N17"/>
    <mergeCell ref="O17:P17"/>
    <mergeCell ref="Q17:R17"/>
    <mergeCell ref="D10:G10"/>
    <mergeCell ref="D14:H14"/>
    <mergeCell ref="D15:H15"/>
    <mergeCell ref="D19:G19"/>
    <mergeCell ref="D20:G20"/>
    <mergeCell ref="D18:G18"/>
    <mergeCell ref="M5:R5"/>
    <mergeCell ref="D4:H4"/>
    <mergeCell ref="C6:G6"/>
    <mergeCell ref="M6:N6"/>
    <mergeCell ref="O6:P6"/>
    <mergeCell ref="Q6:R6"/>
    <mergeCell ref="C1:H1"/>
    <mergeCell ref="C2:H2"/>
    <mergeCell ref="D3:H3"/>
    <mergeCell ref="D8:G8"/>
    <mergeCell ref="D9:G9"/>
    <mergeCell ref="D5:H5"/>
    <mergeCell ref="D7:G7"/>
  </mergeCells>
  <dataValidations count="3">
    <dataValidation type="list" allowBlank="1" showInputMessage="1" showErrorMessage="1" errorTitle="Invalid" error="Please choose an option from the list" promptTitle="Answer" prompt="Please select an answer from the list" sqref="H7 H9 H18:H22 H30:H32 H40:H42" xr:uid="{B9962159-C9CC-6241-B87D-ED0B0D22A939}">
      <formula1>INDIRECT("AnswersGen[Choices]")</formula1>
    </dataValidation>
    <dataValidation type="list" allowBlank="1" showInputMessage="1" showErrorMessage="1" errorTitle="Invalid" error="Please choose an option from the list" promptTitle="Answer" prompt="Please select an answer from the list" sqref="H8" xr:uid="{CBCFB21E-1169-AD47-B331-16A7936EA7F0}">
      <formula1>INDIRECT("AnswersSE12[Choices]")</formula1>
    </dataValidation>
    <dataValidation type="list" allowBlank="1" showInputMessage="1" showErrorMessage="1" errorTitle="Invalid" error="Please choose an option from the list" promptTitle="Answer" prompt="Please select an answer from the list" sqref="H10" xr:uid="{6968A778-9214-4E07-BD1D-92D128280312}">
      <formula1>INDIRECT("AnswersNA[Choices]")</formula1>
    </dataValidation>
  </dataValidations>
  <printOptions horizontalCentered="1"/>
  <pageMargins left="0.7" right="0.7" top="0.75" bottom="0.75" header="0.3" footer="0.3"/>
  <pageSetup paperSize="9" scale="62" fitToHeight="0" orientation="portrait" verticalDpi="0" r:id="rId1"/>
  <headerFooter>
    <oddHeader>&amp;L&amp;G&amp;C&amp;"Calibri,Bold"&amp;23&amp;K338EDDPeople-first PPP Impact Assessment Tool</oddHeader>
  </headerFooter>
  <rowBreaks count="3" manualBreakCount="3">
    <brk id="13" max="16383" man="1"/>
    <brk id="25" max="16383" man="1"/>
    <brk id="35"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848FC-E393-43F3-B4F5-1565273168CE}">
  <sheetPr>
    <tabColor rgb="FF00B0F0"/>
    <pageSetUpPr fitToPage="1"/>
  </sheetPr>
  <dimension ref="A1:M43"/>
  <sheetViews>
    <sheetView showGridLines="0" showRowColHeaders="0" zoomScaleNormal="120" workbookViewId="0"/>
  </sheetViews>
  <sheetFormatPr defaultColWidth="8.796875" defaultRowHeight="14.25" x14ac:dyDescent="0.45"/>
  <cols>
    <col min="1" max="1" width="2.46484375" customWidth="1"/>
    <col min="2" max="2" width="10.796875" customWidth="1"/>
    <col min="3" max="4" width="14.59765625" customWidth="1"/>
    <col min="5" max="5" width="27.19921875" customWidth="1"/>
    <col min="6" max="6" width="23.46484375" customWidth="1"/>
    <col min="7" max="7" width="11.46484375" customWidth="1"/>
    <col min="8" max="8" width="1.46484375" customWidth="1"/>
    <col min="9" max="9" width="22.33203125" hidden="1" customWidth="1"/>
    <col min="10" max="10" width="60.19921875" hidden="1" customWidth="1"/>
    <col min="11" max="11" width="44.19921875" hidden="1" customWidth="1"/>
    <col min="12" max="12" width="1.59765625" customWidth="1"/>
    <col min="13" max="13" width="94" customWidth="1"/>
  </cols>
  <sheetData>
    <row r="1" spans="2:11" ht="13.05" customHeight="1" thickBot="1" x14ac:dyDescent="0.5"/>
    <row r="2" spans="2:11" ht="33.5" customHeight="1" thickTop="1" x14ac:dyDescent="0.45">
      <c r="B2" s="205" t="s">
        <v>262</v>
      </c>
      <c r="C2" s="206"/>
      <c r="D2" s="206"/>
      <c r="E2" s="206"/>
      <c r="F2" s="206"/>
      <c r="G2" s="207"/>
    </row>
    <row r="3" spans="2:11" ht="14.55" customHeight="1" x14ac:dyDescent="0.45">
      <c r="B3" s="208"/>
      <c r="C3" s="209"/>
      <c r="D3" s="209"/>
      <c r="E3" s="209"/>
      <c r="F3" s="209"/>
      <c r="G3" s="210"/>
    </row>
    <row r="4" spans="2:11" ht="8" customHeight="1" x14ac:dyDescent="0.45">
      <c r="B4" s="2"/>
      <c r="C4" s="1"/>
      <c r="D4" s="1"/>
      <c r="E4" s="1"/>
      <c r="F4" s="1"/>
      <c r="G4" s="3"/>
    </row>
    <row r="5" spans="2:11" x14ac:dyDescent="0.45">
      <c r="B5" s="211" t="s">
        <v>266</v>
      </c>
      <c r="C5" s="212"/>
      <c r="D5" s="212"/>
      <c r="E5" s="212"/>
      <c r="F5" s="212"/>
      <c r="G5" s="213"/>
    </row>
    <row r="6" spans="2:11" ht="7.05" customHeight="1" x14ac:dyDescent="0.45">
      <c r="B6" s="4"/>
      <c r="C6" s="71"/>
      <c r="D6" s="1"/>
      <c r="E6" s="1"/>
      <c r="F6" s="1"/>
      <c r="G6" s="3"/>
      <c r="I6" s="1"/>
    </row>
    <row r="7" spans="2:11" x14ac:dyDescent="0.45">
      <c r="B7" s="4"/>
      <c r="C7" s="217" t="s">
        <v>261</v>
      </c>
      <c r="D7" s="217"/>
      <c r="E7" s="217"/>
      <c r="F7" s="69" t="s">
        <v>263</v>
      </c>
      <c r="G7" s="3"/>
      <c r="H7" s="2"/>
      <c r="I7" s="98"/>
      <c r="J7" s="93" t="s">
        <v>2</v>
      </c>
      <c r="K7" s="93" t="s">
        <v>187</v>
      </c>
    </row>
    <row r="8" spans="2:11" ht="18" customHeight="1" x14ac:dyDescent="0.45">
      <c r="B8" s="4"/>
      <c r="C8" s="218" t="s">
        <v>244</v>
      </c>
      <c r="D8" s="218"/>
      <c r="E8" s="218"/>
      <c r="F8" s="68">
        <f>J8/K8</f>
        <v>0</v>
      </c>
      <c r="G8" s="3"/>
      <c r="I8" s="87" t="s">
        <v>108</v>
      </c>
      <c r="J8" s="94">
        <f>'Access and Equity'!M52</f>
        <v>0</v>
      </c>
      <c r="K8" s="95">
        <f>'Access and Equity'!R50</f>
        <v>84</v>
      </c>
    </row>
    <row r="9" spans="2:11" ht="17.55" customHeight="1" x14ac:dyDescent="0.45">
      <c r="B9" s="4"/>
      <c r="C9" s="218" t="s">
        <v>626</v>
      </c>
      <c r="D9" s="218"/>
      <c r="E9" s="218"/>
      <c r="F9" s="68">
        <f t="shared" ref="F9:F12" si="0">J9/K9</f>
        <v>0</v>
      </c>
      <c r="G9" s="3"/>
      <c r="I9" s="87" t="s">
        <v>104</v>
      </c>
      <c r="J9" s="94">
        <f>'Economic Effectiveness'!M55</f>
        <v>0</v>
      </c>
      <c r="K9" s="94">
        <f>'Economic Effectiveness'!R53</f>
        <v>84</v>
      </c>
    </row>
    <row r="10" spans="2:11" ht="17.55" customHeight="1" x14ac:dyDescent="0.45">
      <c r="B10" s="4"/>
      <c r="C10" s="218" t="s">
        <v>627</v>
      </c>
      <c r="D10" s="218"/>
      <c r="E10" s="218"/>
      <c r="F10" s="68">
        <f t="shared" si="0"/>
        <v>0</v>
      </c>
      <c r="G10" s="3"/>
      <c r="I10" s="87" t="s">
        <v>106</v>
      </c>
      <c r="J10" s="96">
        <f>'Environmental Sust. &amp; Res.'!L97</f>
        <v>0</v>
      </c>
      <c r="K10" s="94">
        <f>'Environmental Sust. &amp; Res.'!Q95</f>
        <v>147</v>
      </c>
    </row>
    <row r="11" spans="2:11" ht="17.55" customHeight="1" x14ac:dyDescent="0.45">
      <c r="B11" s="4"/>
      <c r="C11" s="214" t="s">
        <v>524</v>
      </c>
      <c r="D11" s="214"/>
      <c r="E11" s="214"/>
      <c r="F11" s="68">
        <f t="shared" si="0"/>
        <v>0</v>
      </c>
      <c r="G11" s="3"/>
      <c r="I11" s="87" t="s">
        <v>105</v>
      </c>
      <c r="J11" s="94">
        <f>Replicability!M39</f>
        <v>0</v>
      </c>
      <c r="K11" s="94">
        <f>Replicability!R37</f>
        <v>42</v>
      </c>
    </row>
    <row r="12" spans="2:11" ht="17.55" customHeight="1" x14ac:dyDescent="0.45">
      <c r="B12" s="4"/>
      <c r="C12" s="214" t="s">
        <v>260</v>
      </c>
      <c r="D12" s="214"/>
      <c r="E12" s="214"/>
      <c r="F12" s="68">
        <f t="shared" si="0"/>
        <v>0</v>
      </c>
      <c r="G12" s="12"/>
      <c r="I12" s="87" t="s">
        <v>107</v>
      </c>
      <c r="J12" s="94">
        <f>'Stakeholder Engagement'!M50</f>
        <v>0</v>
      </c>
      <c r="K12" s="94">
        <f>'Stakeholder Engagement'!R48</f>
        <v>84</v>
      </c>
    </row>
    <row r="13" spans="2:11" ht="17.55" customHeight="1" x14ac:dyDescent="0.45">
      <c r="B13" s="4"/>
      <c r="C13" s="215" t="s">
        <v>522</v>
      </c>
      <c r="D13" s="215"/>
      <c r="E13" s="215"/>
      <c r="F13" s="70">
        <f>IF(J16&gt;100%,100%,J16)</f>
        <v>1.5873015873015872E-2</v>
      </c>
      <c r="G13" s="12"/>
      <c r="I13" s="87" t="s">
        <v>211</v>
      </c>
      <c r="J13" s="94">
        <f>IF('Home page'!$C$8="",0,VLOOKUP('Home page'!$C$8,Countries[#All],3,FALSE))</f>
        <v>7</v>
      </c>
      <c r="K13" s="99"/>
    </row>
    <row r="14" spans="2:11" ht="30.5" customHeight="1" x14ac:dyDescent="0.45">
      <c r="B14" s="4"/>
      <c r="C14" s="219" t="s">
        <v>555</v>
      </c>
      <c r="D14" s="220"/>
      <c r="E14" s="220"/>
      <c r="F14" s="1"/>
      <c r="G14" s="3"/>
      <c r="I14" s="87" t="s">
        <v>242</v>
      </c>
      <c r="J14" s="94">
        <f>IF('Home page'!$C$20="",0,VLOOKUP('Home page'!$C$20,StatIntent[#All],2,FALSE))</f>
        <v>0</v>
      </c>
      <c r="K14" s="100"/>
    </row>
    <row r="15" spans="2:11" ht="53" customHeight="1" x14ac:dyDescent="0.45">
      <c r="B15" s="72"/>
      <c r="C15" s="216" t="s">
        <v>523</v>
      </c>
      <c r="D15" s="216"/>
      <c r="E15" s="216"/>
      <c r="F15" s="216"/>
      <c r="G15" s="73"/>
      <c r="I15" s="87" t="s">
        <v>212</v>
      </c>
      <c r="J15" s="97">
        <f>Replicability!N36</f>
        <v>0</v>
      </c>
      <c r="K15" s="100"/>
    </row>
    <row r="16" spans="2:11" ht="55.05" customHeight="1" x14ac:dyDescent="0.45">
      <c r="B16" s="74"/>
      <c r="C16" s="75"/>
      <c r="D16" s="75"/>
      <c r="E16" s="75"/>
      <c r="F16" s="75"/>
      <c r="G16" s="76"/>
      <c r="I16" s="103" t="s">
        <v>3</v>
      </c>
      <c r="J16" s="104">
        <f>SUM(J8:J14)/SUM(K8:K12)+J15</f>
        <v>1.5873015873015872E-2</v>
      </c>
    </row>
    <row r="17" spans="1:13" ht="14.65" thickBot="1" x14ac:dyDescent="0.5">
      <c r="B17" s="5"/>
      <c r="C17" s="6"/>
      <c r="D17" s="6"/>
      <c r="E17" s="6"/>
      <c r="F17" s="6"/>
      <c r="G17" s="7"/>
    </row>
    <row r="18" spans="1:13" ht="14.65" thickTop="1" x14ac:dyDescent="0.45"/>
    <row r="19" spans="1:13" ht="21" x14ac:dyDescent="0.45">
      <c r="A19" s="1"/>
      <c r="B19" s="222" t="s">
        <v>264</v>
      </c>
      <c r="C19" s="222"/>
      <c r="D19" s="222"/>
      <c r="E19" s="222"/>
      <c r="F19" s="222"/>
      <c r="G19" s="222"/>
      <c r="H19" s="1"/>
    </row>
    <row r="20" spans="1:13" ht="19.05" customHeight="1" x14ac:dyDescent="0.45">
      <c r="B20" s="221" t="s">
        <v>265</v>
      </c>
      <c r="C20" s="221"/>
      <c r="D20" s="221"/>
      <c r="E20" s="221"/>
      <c r="F20" s="221"/>
      <c r="G20" s="221"/>
      <c r="M20" s="114" t="s">
        <v>246</v>
      </c>
    </row>
    <row r="21" spans="1:13" ht="76.05" customHeight="1" x14ac:dyDescent="0.45">
      <c r="B21" s="204" t="str">
        <f>_xlfn.CONCAT(QualCommentList!E3:E35)</f>
        <v/>
      </c>
      <c r="C21" s="204"/>
      <c r="D21" s="204"/>
      <c r="E21" s="204"/>
      <c r="F21" s="204"/>
      <c r="G21" s="204"/>
      <c r="M21" s="204" t="str">
        <f>_xlfn.CONCAT(QualCommentList!F3:F35)</f>
        <v>Выявить и принять во внимание потребности, цели и проблемы общин, которые проект призван обслуживать.
Произвести количественную оценку числа людей, которые ранее не имели доступа или не имели удовлетворительного доступа к одной или нескольким основным услугам и будут иметь новый или более совершенный доступ к этим услугам в качестве прямого и/или косвенного результата проекта.
Определить и удовлетворить потребности общин, которые проект призван обслуживать, в отношении доступности таким образом, чтобы услуги, предоставляемые в рамках проекта, были вполне доступными для всех пользователей, включая наиболее уязвимых и обездоленных.
На протяжении всего срока действия проекта (идентификация, разработка и реализация) обеспечить принятие во внимание исторического контекста равенства и социальной справедливости.
Оценить диапазон прямых и косвенных социальных воздействий (например, прямое воздействие на культурные, исторические, рекреационные или другие ресурсы и услуги в результате реализации проекта и связанной с ним деятельности; воздействие в результате независимого вторичного строительства или действий, которые могут предприниматься в результате реализации проекта; косвенное воздействие на культурные, исторические, рекреационные или другие ресурсы или услуги, важные для местной общины), которые он окажет на принимающие и затронутые общины (т.е. зону обслуживания проекта).
Оценить риски для эффективности выполнения проекта с точки зрения ценовой приемлемости, доступности и справедливости.
Обеспечить, чтобы процесс составления плана осуществления проекта, его структурирования и разработки и управления им или заключения контракта по нему предоставлял возможность продолжать предвидеть потенциальные будущие риски для эффективности выполнения проекта и реагировать на них с учетом требований ценовой приемлемости, доступности и справедливости на протяжении всего срока его реализации.
Соответствовать или отвечать принятому ЕЭК ООН Стандарту подхода нулевой терпимости к коррупции в рамках закупок по линии ГЧП (НТК) или принципам, содержащимся в нем.
Обеспечить, чтобы проект мог приносить чистые материальные и нематериальные выгоды для общества путем предоставления услуг на неизменно и достоверно более высоком уровне на протяжении всего срока реализации проекта.
Обеспечить, чтобы частный спонсор/акционер проекта обладал надлежащим техническим, финансовым и репутационным статусом для успешного финансирования, осуществления, эксплуатации и технического обслуживания проекта на протяжении всего срока его реализации, включая доступ к необходимым ресурсам для выполнения своих договорных обязательств.
Рассчитать годовой объем выбросов парниковых газов на протяжении всего срока реализации проекта.
Разработать план/определить стратегии сокращения выбросов парниковых газов на протяжении всего срока реализации проекта.
Рассчитать годовое энергопотребление проекта на единицу продукции/услуг.
Разработать план/определить стратегии повышения энергоэффективности/снижения энергопотребления проекта.
Изучить возможности для включения в проект процессов экономики замкнутого цикла (например, изучить возможности выгодного использования/повторного использования нежелательных отходов или избыточных ресурсов, включая отходы или избыточные материалы, энергию/тепло, выбросы газов и/или сточные воды, либо избыточный сервисный потенциал, рабочую силу/управленческий потенциал, финансовый потенциал и земельный/пространственный потенциал).
Разработать оперативный план управления твердыми и опасными отходами в соответствии с национальными экологическими нормами, который направлен на сокращение образования и захоронение отходов в почву в течение всего срока реализации проекта.
Определить и оценить стратегии сокращения потребления пресной воды в течение срока действия проекта.
Обеспечить соответствие проекта законодательным нормативам сброса сточных вод после очистки и включение в него таких особенностей, которые позволяют свести к минимуму негативное воздействие водопотребления и/или соответствующие проблемы на уровне водосборного бассейна.
Провести оценку воздействия на окружающую среду (ОВОС) (или первоначальную экологическую оценку для проектов категории В).
Разработать и реализовать план экологического обустройства (ПЭО) в интересах предотвращения и смягчения последствий для зоны воздействия или ее восстановления.
Завершить мероприятия по обеспечению готовности проекта к бедствиям.
Завершить мероприятия по обеспечению готовности проекта, принимающей стороны и затрагиваемых общин к бедствиям.
Определить средства, выделяемые из различных источников, и предусмотреть бюджет на покрытие убытков в результате утраты активов.
Разработать программу развития, ориентированного на общины (РОО), в которой определены превентивные меры и подготовительные действия до возникновения стихийных и антропогенных бедствий, чрезвычайные действия в момент их наступления и меры по восстановлению и повышению жизнестойкости после их завершения.
Оценить возможности тиражируемости и/или масштабируемости.
Оценить возможности для передачи знаний/ноу-хау, технологий и навыков от частной стороны к стороне государственного сектора и/или заинтересованным сторонам на уровне местных общин и в тех случаях, когда определены жизнеспособные возможности, обеспечить их реализацию.
Провести мероприятия по выяснению круга заинтересованных сторон для определения всех заинтересованных сторон, прямо или косвенно затронутых проектом и/или заинтересованных в нем.
Разработать план взаимодействия с заинтересованными сторонами и участия общественности, учитывающий специфические потребности каждой из заинтересованных сторон и принимающий во внимание широкий спектр требующих решения проектных вопросов, которые связаны с результатами, ориентированными на обеспечение блага людей.
Разработать показатели взаимодействия с заинтересованными сторонами и участия общественности для измерения эффективности и инклюзивности процесса взаимодействия с заинтересованными сторонами и участия общественности, а также для измерения конкретных результатов (например, социальных, культурных, экономических, экологических результатов), достигнутых по итогам этого процесса.
Осуществить эффективный (е), своевременный (е) и всеохватывающий (е) план (ы) взаимодействия с заинтересованными сторонами и обеспечения участия общественности на протяжении всего срока реализации проекта.
Реализовать все возможные меры для обеспечения того, чтобы представители общественности, в том числе защитники окружающей среды, имели возможность свободно выражать свои взгляды и участвовать в соответствующих процессах, не опасаясь наказания, преследований или притеснений за свою причастность к этой деятельности.
Обеспечить учет отзывов заинтересованных сторон в проектных планах, схемах и процессах и/или их влияние на процесс принятия решений, и обеспечить справедливое и беспристрастное рассмотрение отзывов заинтересованных сторон в соответствии с принципами социальной и экологической справедливости.
Обеспечить, чтобы всем заинтересованным сторонам, включая представителей общественности, была легко доступна качественная и актуальная информация о проекте, касающаяся результатов, ориентированных на обеспечение блага людей, и чтобы она предоставлялась транспарентным, своевременным, понятным и доступным образом.</v>
      </c>
    </row>
    <row r="22" spans="1:13" ht="76.05" customHeight="1" x14ac:dyDescent="0.45">
      <c r="B22" s="204"/>
      <c r="C22" s="204"/>
      <c r="D22" s="204"/>
      <c r="E22" s="204"/>
      <c r="F22" s="204"/>
      <c r="G22" s="204"/>
      <c r="M22" s="204"/>
    </row>
    <row r="23" spans="1:13" ht="76.05" customHeight="1" x14ac:dyDescent="0.45">
      <c r="B23" s="204"/>
      <c r="C23" s="204"/>
      <c r="D23" s="204"/>
      <c r="E23" s="204"/>
      <c r="F23" s="204"/>
      <c r="G23" s="204"/>
      <c r="M23" s="204"/>
    </row>
    <row r="24" spans="1:13" ht="76.05" customHeight="1" x14ac:dyDescent="0.45">
      <c r="B24" s="204"/>
      <c r="C24" s="204"/>
      <c r="D24" s="204"/>
      <c r="E24" s="204"/>
      <c r="F24" s="204"/>
      <c r="G24" s="204"/>
      <c r="M24" s="204"/>
    </row>
    <row r="25" spans="1:13" ht="76.05" customHeight="1" x14ac:dyDescent="0.45">
      <c r="B25" s="204"/>
      <c r="C25" s="204"/>
      <c r="D25" s="204"/>
      <c r="E25" s="204"/>
      <c r="F25" s="204"/>
      <c r="G25" s="204"/>
      <c r="M25" s="204"/>
    </row>
    <row r="26" spans="1:13" ht="76.05" customHeight="1" x14ac:dyDescent="0.45">
      <c r="B26" s="204"/>
      <c r="C26" s="204"/>
      <c r="D26" s="204"/>
      <c r="E26" s="204"/>
      <c r="F26" s="204"/>
      <c r="G26" s="204"/>
      <c r="M26" s="204"/>
    </row>
    <row r="27" spans="1:13" ht="76.05" customHeight="1" x14ac:dyDescent="0.45">
      <c r="B27" s="204"/>
      <c r="C27" s="204"/>
      <c r="D27" s="204"/>
      <c r="E27" s="204"/>
      <c r="F27" s="204"/>
      <c r="G27" s="204"/>
      <c r="M27" s="204"/>
    </row>
    <row r="28" spans="1:13" ht="76.05" customHeight="1" x14ac:dyDescent="0.45">
      <c r="B28" s="204"/>
      <c r="C28" s="204"/>
      <c r="D28" s="204"/>
      <c r="E28" s="204"/>
      <c r="F28" s="204"/>
      <c r="G28" s="204"/>
      <c r="M28" s="204"/>
    </row>
    <row r="29" spans="1:13" ht="76.05" customHeight="1" x14ac:dyDescent="0.45">
      <c r="B29" s="204"/>
      <c r="C29" s="204"/>
      <c r="D29" s="204"/>
      <c r="E29" s="204"/>
      <c r="F29" s="204"/>
      <c r="G29" s="204"/>
      <c r="M29" s="204"/>
    </row>
    <row r="30" spans="1:13" ht="76.05" customHeight="1" x14ac:dyDescent="0.45">
      <c r="B30" s="204"/>
      <c r="C30" s="204"/>
      <c r="D30" s="204"/>
      <c r="E30" s="204"/>
      <c r="F30" s="204"/>
      <c r="G30" s="204"/>
      <c r="M30" s="204"/>
    </row>
    <row r="31" spans="1:13" ht="76.05" customHeight="1" x14ac:dyDescent="0.45">
      <c r="B31" s="204"/>
      <c r="C31" s="204"/>
      <c r="D31" s="204"/>
      <c r="E31" s="204"/>
      <c r="F31" s="204"/>
      <c r="G31" s="204"/>
      <c r="M31" s="204"/>
    </row>
    <row r="32" spans="1:13" ht="76.05" customHeight="1" x14ac:dyDescent="0.45">
      <c r="B32" s="204"/>
      <c r="C32" s="204"/>
      <c r="D32" s="204"/>
      <c r="E32" s="204"/>
      <c r="F32" s="204"/>
      <c r="G32" s="204"/>
      <c r="M32" s="204"/>
    </row>
    <row r="33" spans="2:13" ht="76.05" customHeight="1" x14ac:dyDescent="0.45">
      <c r="B33" s="204"/>
      <c r="C33" s="204"/>
      <c r="D33" s="204"/>
      <c r="E33" s="204"/>
      <c r="F33" s="204"/>
      <c r="G33" s="204"/>
      <c r="M33" s="204"/>
    </row>
    <row r="34" spans="2:13" ht="76.05" customHeight="1" x14ac:dyDescent="0.45">
      <c r="B34" s="204"/>
      <c r="C34" s="204"/>
      <c r="D34" s="204"/>
      <c r="E34" s="204"/>
      <c r="F34" s="204"/>
      <c r="G34" s="204"/>
      <c r="M34" s="204"/>
    </row>
    <row r="35" spans="2:13" ht="76.05" customHeight="1" x14ac:dyDescent="0.45">
      <c r="B35" s="204"/>
      <c r="C35" s="204"/>
      <c r="D35" s="204"/>
      <c r="E35" s="204"/>
      <c r="F35" s="204"/>
      <c r="G35" s="204"/>
      <c r="M35" s="204"/>
    </row>
    <row r="36" spans="2:13" ht="76.05" customHeight="1" x14ac:dyDescent="0.45">
      <c r="B36" s="204"/>
      <c r="C36" s="204"/>
      <c r="D36" s="204"/>
      <c r="E36" s="204"/>
      <c r="F36" s="204"/>
      <c r="G36" s="204"/>
      <c r="M36" s="204"/>
    </row>
    <row r="37" spans="2:13" ht="76.05" customHeight="1" x14ac:dyDescent="0.45">
      <c r="B37" s="204"/>
      <c r="C37" s="204"/>
      <c r="D37" s="204"/>
      <c r="E37" s="204"/>
      <c r="F37" s="204"/>
      <c r="G37" s="204"/>
      <c r="M37" s="204"/>
    </row>
    <row r="38" spans="2:13" ht="76.05" customHeight="1" x14ac:dyDescent="0.45">
      <c r="B38" s="204"/>
      <c r="C38" s="204"/>
      <c r="D38" s="204"/>
      <c r="E38" s="204"/>
      <c r="F38" s="204"/>
      <c r="G38" s="204"/>
      <c r="M38" s="204"/>
    </row>
    <row r="39" spans="2:13" ht="76.05" customHeight="1" x14ac:dyDescent="0.45">
      <c r="B39" s="204"/>
      <c r="C39" s="204"/>
      <c r="D39" s="204"/>
      <c r="E39" s="204"/>
      <c r="F39" s="204"/>
      <c r="G39" s="204"/>
      <c r="M39" s="204"/>
    </row>
    <row r="40" spans="2:13" ht="76.05" customHeight="1" x14ac:dyDescent="0.45">
      <c r="B40" s="204"/>
      <c r="C40" s="204"/>
      <c r="D40" s="204"/>
      <c r="E40" s="204"/>
      <c r="F40" s="204"/>
      <c r="G40" s="204"/>
      <c r="M40" s="204"/>
    </row>
    <row r="41" spans="2:13" ht="76.05" customHeight="1" x14ac:dyDescent="0.45">
      <c r="B41" s="204"/>
      <c r="C41" s="204"/>
      <c r="D41" s="204"/>
      <c r="E41" s="204"/>
      <c r="F41" s="204"/>
      <c r="G41" s="204"/>
      <c r="M41" s="204"/>
    </row>
    <row r="42" spans="2:13" ht="76.05" customHeight="1" x14ac:dyDescent="0.45">
      <c r="B42" s="204"/>
      <c r="C42" s="204"/>
      <c r="D42" s="204"/>
      <c r="E42" s="204"/>
      <c r="F42" s="204"/>
      <c r="G42" s="204"/>
      <c r="M42" s="204"/>
    </row>
    <row r="43" spans="2:13" ht="76.05" customHeight="1" x14ac:dyDescent="0.45">
      <c r="B43" s="204"/>
      <c r="C43" s="204"/>
      <c r="D43" s="204"/>
      <c r="E43" s="204"/>
      <c r="F43" s="204"/>
      <c r="G43" s="204"/>
      <c r="M43" s="204"/>
    </row>
  </sheetData>
  <sheetProtection algorithmName="SHA-512" hashValue="I0D23VeVQgW+wOJnqLNmphpTLcbazdKsRbEM1QRHU3UA8Ulb9Nb8eEW1wmkBQL+l4HwSGFhV17g3V2mEhYEwNw==" saltValue="qKv9TuJ4oRBzt+BXVAhO3w==" spinCount="100000" sheet="1" objects="1" scenarios="1"/>
  <mergeCells count="16">
    <mergeCell ref="B21:G43"/>
    <mergeCell ref="M21:M43"/>
    <mergeCell ref="B2:G2"/>
    <mergeCell ref="B3:G3"/>
    <mergeCell ref="B5:G5"/>
    <mergeCell ref="C11:E11"/>
    <mergeCell ref="C12:E12"/>
    <mergeCell ref="C13:E13"/>
    <mergeCell ref="C15:F15"/>
    <mergeCell ref="C7:E7"/>
    <mergeCell ref="C8:E8"/>
    <mergeCell ref="C9:E9"/>
    <mergeCell ref="C10:E10"/>
    <mergeCell ref="C14:E14"/>
    <mergeCell ref="B20:G20"/>
    <mergeCell ref="B19:G19"/>
  </mergeCells>
  <pageMargins left="0.7" right="0.7" top="0.75" bottom="0.75" header="0.3" footer="0.3"/>
  <pageSetup paperSize="9" scale="46" fitToHeight="0" orientation="portrait" verticalDpi="0" r:id="rId1"/>
  <headerFooter>
    <oddHeader>&amp;L&amp;G&amp;C&amp;"Calibri (Body),Bold"&amp;23&amp;K338EDDPeople-first PPP Impact Assessment Tool</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BF713-52A1-412A-A163-864DD45B5794}">
  <sheetPr>
    <tabColor theme="0" tint="-0.499984740745262"/>
  </sheetPr>
  <dimension ref="B2:AM121"/>
  <sheetViews>
    <sheetView topLeftCell="A48" zoomScale="160" zoomScaleNormal="160" workbookViewId="0">
      <selection activeCell="B58" sqref="B58"/>
    </sheetView>
  </sheetViews>
  <sheetFormatPr defaultColWidth="8.796875" defaultRowHeight="14.25" x14ac:dyDescent="0.45"/>
  <cols>
    <col min="1" max="1" width="2.46484375" customWidth="1"/>
    <col min="2" max="2" width="51.46484375" customWidth="1"/>
    <col min="3" max="3" width="25.796875" customWidth="1"/>
    <col min="4" max="4" width="8.59765625" customWidth="1"/>
    <col min="5" max="5" width="29.19921875" customWidth="1"/>
    <col min="6" max="7" width="8.59765625" customWidth="1"/>
    <col min="8" max="8" width="26.796875" customWidth="1"/>
    <col min="9" max="10" width="8.59765625" customWidth="1"/>
    <col min="11" max="11" width="40.33203125" customWidth="1"/>
    <col min="12" max="13" width="8.59765625" customWidth="1"/>
    <col min="14" max="14" width="53.59765625" customWidth="1"/>
    <col min="15" max="16" width="8.59765625" customWidth="1"/>
    <col min="17" max="17" width="48.796875" customWidth="1"/>
    <col min="18" max="19" width="8.59765625" customWidth="1"/>
    <col min="20" max="20" width="31.796875" customWidth="1"/>
    <col min="21" max="22" width="8.59765625" customWidth="1"/>
    <col min="23" max="23" width="17.46484375" customWidth="1"/>
    <col min="24" max="25" width="8.59765625" customWidth="1"/>
    <col min="26" max="26" width="17.59765625" customWidth="1"/>
    <col min="27" max="27" width="8.59765625" customWidth="1"/>
    <col min="28" max="28" width="8.796875" customWidth="1"/>
    <col min="29" max="29" width="17.59765625" customWidth="1"/>
    <col min="32" max="32" width="25.59765625" customWidth="1"/>
    <col min="35" max="35" width="17.59765625" customWidth="1"/>
    <col min="38" max="38" width="17.796875" customWidth="1"/>
  </cols>
  <sheetData>
    <row r="2" spans="2:21" ht="23.25" x14ac:dyDescent="0.45">
      <c r="B2" s="153" t="s">
        <v>807</v>
      </c>
      <c r="C2" s="153"/>
      <c r="D2" s="153"/>
      <c r="E2" s="153"/>
      <c r="F2" s="153"/>
      <c r="G2" s="153"/>
      <c r="H2" s="153"/>
      <c r="I2" s="153"/>
      <c r="J2" s="153"/>
      <c r="K2" s="153"/>
      <c r="L2" s="153"/>
      <c r="M2" s="153"/>
      <c r="N2" s="153"/>
      <c r="O2" s="153"/>
      <c r="P2" s="153"/>
      <c r="Q2" s="153"/>
      <c r="R2" s="153"/>
      <c r="S2" s="153"/>
      <c r="T2" s="153"/>
      <c r="U2" s="153"/>
    </row>
    <row r="4" spans="2:21" x14ac:dyDescent="0.45">
      <c r="B4" s="10" t="s">
        <v>20</v>
      </c>
    </row>
    <row r="5" spans="2:21" x14ac:dyDescent="0.45">
      <c r="B5" t="s">
        <v>0</v>
      </c>
      <c r="C5" t="s">
        <v>22</v>
      </c>
      <c r="D5" t="s">
        <v>2</v>
      </c>
    </row>
    <row r="6" spans="2:21" x14ac:dyDescent="0.45">
      <c r="B6">
        <v>0</v>
      </c>
      <c r="C6" t="s">
        <v>808</v>
      </c>
      <c r="D6">
        <v>0</v>
      </c>
    </row>
    <row r="7" spans="2:21" x14ac:dyDescent="0.45">
      <c r="B7">
        <v>1</v>
      </c>
      <c r="C7" t="s">
        <v>250</v>
      </c>
      <c r="D7">
        <v>7</v>
      </c>
    </row>
    <row r="8" spans="2:21" x14ac:dyDescent="0.45">
      <c r="B8">
        <v>2</v>
      </c>
      <c r="C8" t="s">
        <v>251</v>
      </c>
      <c r="D8">
        <v>14</v>
      </c>
    </row>
    <row r="9" spans="2:21" x14ac:dyDescent="0.45">
      <c r="B9">
        <v>3</v>
      </c>
      <c r="C9" t="s">
        <v>252</v>
      </c>
      <c r="D9">
        <v>21</v>
      </c>
    </row>
    <row r="11" spans="2:21" x14ac:dyDescent="0.45">
      <c r="B11" s="10" t="s">
        <v>115</v>
      </c>
    </row>
    <row r="12" spans="2:21" x14ac:dyDescent="0.45">
      <c r="B12" t="s">
        <v>215</v>
      </c>
      <c r="C12" t="s">
        <v>2</v>
      </c>
    </row>
    <row r="13" spans="2:21" x14ac:dyDescent="0.45">
      <c r="B13" t="s">
        <v>243</v>
      </c>
      <c r="C13">
        <v>0</v>
      </c>
    </row>
    <row r="14" spans="2:21" x14ac:dyDescent="0.45">
      <c r="B14" t="s">
        <v>247</v>
      </c>
      <c r="C14">
        <v>7</v>
      </c>
    </row>
    <row r="15" spans="2:21" x14ac:dyDescent="0.45">
      <c r="B15" t="s">
        <v>248</v>
      </c>
      <c r="C15">
        <v>14</v>
      </c>
    </row>
    <row r="16" spans="2:21" x14ac:dyDescent="0.45">
      <c r="B16" t="s">
        <v>249</v>
      </c>
      <c r="C16">
        <v>21</v>
      </c>
    </row>
    <row r="18" spans="2:17" x14ac:dyDescent="0.45">
      <c r="B18" s="10" t="s">
        <v>213</v>
      </c>
    </row>
    <row r="19" spans="2:17" x14ac:dyDescent="0.45">
      <c r="B19" t="s">
        <v>0</v>
      </c>
      <c r="C19" t="s">
        <v>214</v>
      </c>
    </row>
    <row r="20" spans="2:17" x14ac:dyDescent="0.45">
      <c r="B20">
        <v>1</v>
      </c>
      <c r="C20" t="s">
        <v>254</v>
      </c>
    </row>
    <row r="21" spans="2:17" x14ac:dyDescent="0.45">
      <c r="B21">
        <v>2</v>
      </c>
      <c r="C21" t="s">
        <v>255</v>
      </c>
    </row>
    <row r="22" spans="2:17" x14ac:dyDescent="0.45">
      <c r="B22">
        <v>3</v>
      </c>
      <c r="C22" t="s">
        <v>256</v>
      </c>
    </row>
    <row r="24" spans="2:17" x14ac:dyDescent="0.45">
      <c r="B24" s="10" t="s">
        <v>18</v>
      </c>
    </row>
    <row r="25" spans="2:17" x14ac:dyDescent="0.45">
      <c r="B25" t="s">
        <v>19</v>
      </c>
      <c r="C25" t="s">
        <v>193</v>
      </c>
    </row>
    <row r="26" spans="2:17" x14ac:dyDescent="0.45">
      <c r="B26" t="s">
        <v>567</v>
      </c>
      <c r="C26">
        <v>0</v>
      </c>
    </row>
    <row r="27" spans="2:17" x14ac:dyDescent="0.45">
      <c r="B27" t="s">
        <v>566</v>
      </c>
      <c r="C27">
        <v>3</v>
      </c>
    </row>
    <row r="28" spans="2:17" x14ac:dyDescent="0.45">
      <c r="B28" t="s">
        <v>568</v>
      </c>
      <c r="C28">
        <v>5</v>
      </c>
    </row>
    <row r="31" spans="2:17" x14ac:dyDescent="0.45">
      <c r="B31" s="10" t="s">
        <v>30</v>
      </c>
      <c r="E31" s="10" t="s">
        <v>23</v>
      </c>
      <c r="N31" s="10"/>
      <c r="Q31" s="10"/>
    </row>
    <row r="32" spans="2:17" x14ac:dyDescent="0.45">
      <c r="B32" t="s">
        <v>1</v>
      </c>
      <c r="C32" t="s">
        <v>21</v>
      </c>
      <c r="E32" t="s">
        <v>1</v>
      </c>
      <c r="F32" t="s">
        <v>21</v>
      </c>
    </row>
    <row r="33" spans="2:6" x14ac:dyDescent="0.45">
      <c r="B33" t="s">
        <v>253</v>
      </c>
      <c r="C33">
        <v>1</v>
      </c>
      <c r="E33" t="s">
        <v>253</v>
      </c>
      <c r="F33">
        <v>1</v>
      </c>
    </row>
    <row r="34" spans="2:6" x14ac:dyDescent="0.45">
      <c r="B34" t="s">
        <v>243</v>
      </c>
      <c r="C34">
        <v>0</v>
      </c>
      <c r="E34" t="s">
        <v>243</v>
      </c>
      <c r="F34">
        <v>0</v>
      </c>
    </row>
    <row r="35" spans="2:6" x14ac:dyDescent="0.45">
      <c r="E35" t="s">
        <v>257</v>
      </c>
      <c r="F35">
        <v>1</v>
      </c>
    </row>
    <row r="37" spans="2:6" x14ac:dyDescent="0.45">
      <c r="B37" s="10" t="s">
        <v>188</v>
      </c>
    </row>
    <row r="38" spans="2:6" x14ac:dyDescent="0.45">
      <c r="B38" t="s">
        <v>1</v>
      </c>
      <c r="C38" t="s">
        <v>21</v>
      </c>
    </row>
    <row r="39" spans="2:6" x14ac:dyDescent="0.45">
      <c r="B39" s="11" t="s">
        <v>591</v>
      </c>
      <c r="C39">
        <v>2</v>
      </c>
    </row>
    <row r="40" spans="2:6" x14ac:dyDescent="0.45">
      <c r="B40" t="s">
        <v>592</v>
      </c>
      <c r="C40">
        <v>1</v>
      </c>
    </row>
    <row r="41" spans="2:6" x14ac:dyDescent="0.45">
      <c r="B41" t="s">
        <v>243</v>
      </c>
      <c r="C41">
        <v>0</v>
      </c>
    </row>
    <row r="43" spans="2:6" x14ac:dyDescent="0.45">
      <c r="B43" s="10" t="s">
        <v>189</v>
      </c>
    </row>
    <row r="44" spans="2:6" x14ac:dyDescent="0.45">
      <c r="B44" t="s">
        <v>1</v>
      </c>
      <c r="C44" t="s">
        <v>21</v>
      </c>
    </row>
    <row r="45" spans="2:6" x14ac:dyDescent="0.45">
      <c r="B45" s="11" t="s">
        <v>590</v>
      </c>
      <c r="C45">
        <v>2</v>
      </c>
    </row>
    <row r="46" spans="2:6" x14ac:dyDescent="0.45">
      <c r="B46" t="s">
        <v>589</v>
      </c>
      <c r="C46">
        <v>1</v>
      </c>
    </row>
    <row r="47" spans="2:6" x14ac:dyDescent="0.45">
      <c r="B47" t="s">
        <v>243</v>
      </c>
      <c r="C47">
        <v>0</v>
      </c>
    </row>
    <row r="49" spans="2:39" x14ac:dyDescent="0.45">
      <c r="B49" s="10" t="s">
        <v>192</v>
      </c>
      <c r="E49" s="10" t="s">
        <v>195</v>
      </c>
      <c r="H49" s="10" t="s">
        <v>196</v>
      </c>
      <c r="K49" s="10" t="s">
        <v>197</v>
      </c>
      <c r="N49" s="10" t="s">
        <v>198</v>
      </c>
      <c r="Q49" s="10" t="s">
        <v>199</v>
      </c>
      <c r="T49" s="10" t="s">
        <v>200</v>
      </c>
      <c r="W49" s="10" t="s">
        <v>201</v>
      </c>
      <c r="Z49" s="10" t="s">
        <v>202</v>
      </c>
      <c r="AC49" s="10" t="s">
        <v>203</v>
      </c>
      <c r="AF49" s="10" t="s">
        <v>204</v>
      </c>
      <c r="AI49" s="10" t="s">
        <v>205</v>
      </c>
      <c r="AL49" s="10" t="s">
        <v>206</v>
      </c>
    </row>
    <row r="50" spans="2:39" x14ac:dyDescent="0.45">
      <c r="B50" t="s">
        <v>1</v>
      </c>
      <c r="C50" t="s">
        <v>21</v>
      </c>
      <c r="E50" t="s">
        <v>1</v>
      </c>
      <c r="F50" t="s">
        <v>21</v>
      </c>
      <c r="H50" t="s">
        <v>1</v>
      </c>
      <c r="I50" t="s">
        <v>21</v>
      </c>
      <c r="K50" t="s">
        <v>1</v>
      </c>
      <c r="L50" t="s">
        <v>21</v>
      </c>
      <c r="N50" t="s">
        <v>1</v>
      </c>
      <c r="O50" t="s">
        <v>21</v>
      </c>
      <c r="Q50" t="s">
        <v>1</v>
      </c>
      <c r="R50" t="s">
        <v>21</v>
      </c>
      <c r="T50" t="s">
        <v>1</v>
      </c>
      <c r="U50" t="s">
        <v>21</v>
      </c>
      <c r="W50" t="s">
        <v>1</v>
      </c>
      <c r="X50" t="s">
        <v>21</v>
      </c>
      <c r="Z50" t="s">
        <v>1</v>
      </c>
      <c r="AA50" t="s">
        <v>21</v>
      </c>
      <c r="AC50" t="s">
        <v>1</v>
      </c>
      <c r="AD50" t="s">
        <v>21</v>
      </c>
      <c r="AF50" t="s">
        <v>1</v>
      </c>
      <c r="AG50" t="s">
        <v>21</v>
      </c>
      <c r="AI50" t="s">
        <v>1</v>
      </c>
      <c r="AJ50" t="s">
        <v>21</v>
      </c>
      <c r="AL50" t="s">
        <v>1</v>
      </c>
      <c r="AM50" t="s">
        <v>21</v>
      </c>
    </row>
    <row r="51" spans="2:39" x14ac:dyDescent="0.45">
      <c r="B51" s="11" t="s">
        <v>581</v>
      </c>
      <c r="C51">
        <v>2</v>
      </c>
      <c r="E51" s="11" t="s">
        <v>581</v>
      </c>
      <c r="F51">
        <v>2</v>
      </c>
      <c r="H51" s="11" t="s">
        <v>581</v>
      </c>
      <c r="I51">
        <v>2</v>
      </c>
      <c r="K51" s="11" t="s">
        <v>587</v>
      </c>
      <c r="L51">
        <v>2</v>
      </c>
      <c r="N51" s="11" t="s">
        <v>585</v>
      </c>
      <c r="O51">
        <v>2</v>
      </c>
      <c r="Q51" s="11" t="s">
        <v>584</v>
      </c>
      <c r="R51">
        <v>2</v>
      </c>
      <c r="T51" s="11" t="s">
        <v>583</v>
      </c>
      <c r="U51">
        <v>2</v>
      </c>
      <c r="W51" s="11" t="s">
        <v>581</v>
      </c>
      <c r="X51">
        <v>2</v>
      </c>
      <c r="Z51" s="11" t="s">
        <v>581</v>
      </c>
      <c r="AA51">
        <v>2</v>
      </c>
      <c r="AC51" s="11" t="s">
        <v>580</v>
      </c>
      <c r="AD51">
        <v>2</v>
      </c>
      <c r="AF51" s="11" t="s">
        <v>577</v>
      </c>
      <c r="AG51">
        <v>2</v>
      </c>
      <c r="AI51" s="11" t="s">
        <v>574</v>
      </c>
      <c r="AJ51">
        <v>2</v>
      </c>
      <c r="AL51" s="11" t="s">
        <v>576</v>
      </c>
      <c r="AM51">
        <v>2</v>
      </c>
    </row>
    <row r="52" spans="2:39" x14ac:dyDescent="0.45">
      <c r="B52" t="s">
        <v>582</v>
      </c>
      <c r="C52">
        <v>1</v>
      </c>
      <c r="E52" t="s">
        <v>582</v>
      </c>
      <c r="F52">
        <v>1</v>
      </c>
      <c r="H52" t="s">
        <v>582</v>
      </c>
      <c r="I52">
        <v>1</v>
      </c>
      <c r="K52" t="s">
        <v>588</v>
      </c>
      <c r="L52">
        <v>1</v>
      </c>
      <c r="N52" t="s">
        <v>586</v>
      </c>
      <c r="O52">
        <v>1</v>
      </c>
      <c r="Q52" t="s">
        <v>253</v>
      </c>
      <c r="R52">
        <v>1</v>
      </c>
      <c r="T52" t="s">
        <v>475</v>
      </c>
      <c r="U52">
        <v>1</v>
      </c>
      <c r="W52" t="s">
        <v>582</v>
      </c>
      <c r="X52">
        <v>1</v>
      </c>
      <c r="Z52" t="s">
        <v>582</v>
      </c>
      <c r="AA52">
        <v>1</v>
      </c>
      <c r="AC52" t="s">
        <v>579</v>
      </c>
      <c r="AD52">
        <v>1</v>
      </c>
      <c r="AF52" t="s">
        <v>578</v>
      </c>
      <c r="AG52">
        <v>1</v>
      </c>
      <c r="AI52" t="s">
        <v>575</v>
      </c>
      <c r="AJ52">
        <v>1</v>
      </c>
      <c r="AL52" t="s">
        <v>475</v>
      </c>
      <c r="AM52">
        <v>1</v>
      </c>
    </row>
    <row r="53" spans="2:39" x14ac:dyDescent="0.45">
      <c r="B53" t="s">
        <v>243</v>
      </c>
      <c r="C53">
        <v>0</v>
      </c>
      <c r="E53" t="s">
        <v>243</v>
      </c>
      <c r="F53">
        <v>0</v>
      </c>
      <c r="H53" t="s">
        <v>243</v>
      </c>
      <c r="I53">
        <v>0</v>
      </c>
      <c r="K53" t="s">
        <v>243</v>
      </c>
      <c r="L53">
        <v>0</v>
      </c>
      <c r="N53" t="s">
        <v>243</v>
      </c>
      <c r="O53">
        <v>0</v>
      </c>
      <c r="Q53" t="s">
        <v>243</v>
      </c>
      <c r="R53">
        <v>0</v>
      </c>
      <c r="T53" t="s">
        <v>243</v>
      </c>
      <c r="U53">
        <v>0</v>
      </c>
      <c r="W53" t="s">
        <v>243</v>
      </c>
      <c r="X53">
        <v>0</v>
      </c>
      <c r="Z53" t="s">
        <v>243</v>
      </c>
      <c r="AA53">
        <v>0</v>
      </c>
      <c r="AC53" t="s">
        <v>243</v>
      </c>
      <c r="AD53">
        <v>0</v>
      </c>
      <c r="AF53" t="s">
        <v>243</v>
      </c>
      <c r="AG53">
        <v>0</v>
      </c>
      <c r="AI53" t="s">
        <v>243</v>
      </c>
      <c r="AJ53">
        <v>0</v>
      </c>
      <c r="AL53" t="s">
        <v>243</v>
      </c>
      <c r="AM53">
        <v>0</v>
      </c>
    </row>
    <row r="54" spans="2:39" x14ac:dyDescent="0.45">
      <c r="E54" t="s">
        <v>257</v>
      </c>
      <c r="F54">
        <v>2</v>
      </c>
      <c r="H54" t="s">
        <v>257</v>
      </c>
      <c r="I54">
        <v>2</v>
      </c>
      <c r="N54" t="s">
        <v>257</v>
      </c>
      <c r="O54">
        <v>2</v>
      </c>
      <c r="Q54" t="s">
        <v>257</v>
      </c>
      <c r="R54">
        <v>2</v>
      </c>
      <c r="T54" t="s">
        <v>257</v>
      </c>
      <c r="U54">
        <v>2</v>
      </c>
      <c r="W54" t="s">
        <v>257</v>
      </c>
      <c r="X54">
        <v>2</v>
      </c>
      <c r="Z54" t="s">
        <v>257</v>
      </c>
      <c r="AA54">
        <v>2</v>
      </c>
      <c r="AC54" t="s">
        <v>257</v>
      </c>
      <c r="AD54">
        <v>2</v>
      </c>
      <c r="AF54" t="s">
        <v>257</v>
      </c>
      <c r="AG54">
        <v>2</v>
      </c>
      <c r="AI54" t="s">
        <v>257</v>
      </c>
      <c r="AJ54">
        <v>2</v>
      </c>
    </row>
    <row r="56" spans="2:39" x14ac:dyDescent="0.45">
      <c r="B56" s="10" t="s">
        <v>208</v>
      </c>
    </row>
    <row r="57" spans="2:39" x14ac:dyDescent="0.45">
      <c r="B57" t="s">
        <v>1</v>
      </c>
      <c r="C57" t="s">
        <v>21</v>
      </c>
    </row>
    <row r="58" spans="2:39" x14ac:dyDescent="0.45">
      <c r="B58" s="11" t="s">
        <v>806</v>
      </c>
      <c r="C58">
        <v>2</v>
      </c>
      <c r="E58" s="10"/>
      <c r="H58" s="10"/>
      <c r="K58" s="10"/>
      <c r="N58" s="10"/>
      <c r="Q58" s="10"/>
    </row>
    <row r="59" spans="2:39" x14ac:dyDescent="0.45">
      <c r="B59" t="s">
        <v>253</v>
      </c>
      <c r="C59">
        <v>1</v>
      </c>
    </row>
    <row r="60" spans="2:39" x14ac:dyDescent="0.45">
      <c r="B60" t="s">
        <v>243</v>
      </c>
      <c r="C60">
        <v>0</v>
      </c>
    </row>
    <row r="62" spans="2:39" x14ac:dyDescent="0.45">
      <c r="B62" s="10" t="s">
        <v>210</v>
      </c>
    </row>
    <row r="63" spans="2:39" x14ac:dyDescent="0.45">
      <c r="B63" t="s">
        <v>1</v>
      </c>
      <c r="C63" t="s">
        <v>21</v>
      </c>
    </row>
    <row r="64" spans="2:39" x14ac:dyDescent="0.45">
      <c r="B64" s="11" t="s">
        <v>474</v>
      </c>
      <c r="C64">
        <v>2</v>
      </c>
    </row>
    <row r="65" spans="2:17" x14ac:dyDescent="0.45">
      <c r="B65" t="s">
        <v>475</v>
      </c>
      <c r="C65">
        <v>1</v>
      </c>
      <c r="E65" s="10"/>
      <c r="H65" s="10"/>
      <c r="K65" s="10"/>
      <c r="N65" s="10"/>
      <c r="Q65" s="10"/>
    </row>
    <row r="66" spans="2:17" x14ac:dyDescent="0.45">
      <c r="B66" t="s">
        <v>243</v>
      </c>
      <c r="C66">
        <v>0</v>
      </c>
    </row>
    <row r="72" spans="2:17" x14ac:dyDescent="0.45">
      <c r="B72" s="10"/>
      <c r="E72" s="10"/>
      <c r="H72" s="10"/>
      <c r="K72" s="10"/>
      <c r="N72" s="10"/>
      <c r="Q72" s="10"/>
    </row>
    <row r="80" spans="2:17" x14ac:dyDescent="0.45">
      <c r="B80" s="10"/>
      <c r="E80" s="10"/>
      <c r="H80" s="10"/>
      <c r="K80" s="10"/>
      <c r="N80" s="10"/>
      <c r="Q80" s="10"/>
    </row>
    <row r="88" spans="5:17" x14ac:dyDescent="0.45">
      <c r="E88" s="10"/>
      <c r="H88" s="10"/>
      <c r="K88" s="10"/>
      <c r="N88" s="10"/>
      <c r="Q88" s="10"/>
    </row>
    <row r="97" spans="2:17" x14ac:dyDescent="0.45">
      <c r="B97" s="10"/>
      <c r="E97" s="10"/>
      <c r="H97" s="10"/>
      <c r="K97" s="10"/>
      <c r="N97" s="10"/>
      <c r="Q97" s="10"/>
    </row>
    <row r="106" spans="2:17" x14ac:dyDescent="0.45">
      <c r="B106" s="10"/>
      <c r="E106" s="10"/>
      <c r="H106" s="10"/>
      <c r="K106" s="10"/>
      <c r="N106" s="10"/>
      <c r="Q106" s="10"/>
    </row>
    <row r="114" spans="2:17" x14ac:dyDescent="0.45">
      <c r="B114" s="10"/>
      <c r="E114" s="10"/>
      <c r="H114" s="10"/>
      <c r="K114" s="10"/>
      <c r="N114" s="10"/>
      <c r="Q114" s="10"/>
    </row>
    <row r="121" spans="2:17" x14ac:dyDescent="0.45">
      <c r="B121" s="10"/>
      <c r="E121" s="10"/>
    </row>
  </sheetData>
  <mergeCells count="1">
    <mergeCell ref="B2:U2"/>
  </mergeCells>
  <pageMargins left="0.7" right="0.7" top="0.75" bottom="0.75" header="0.3" footer="0.3"/>
  <pageSetup paperSize="9" orientation="portrait" verticalDpi="0" r:id="rId1"/>
  <tableParts count="23">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F009AA20B2ED4399E9C39C77341190" ma:contentTypeVersion="13" ma:contentTypeDescription="Create a new document." ma:contentTypeScope="" ma:versionID="df115c9565ebf608dfa67385aaf0957d">
  <xsd:schema xmlns:xsd="http://www.w3.org/2001/XMLSchema" xmlns:xs="http://www.w3.org/2001/XMLSchema" xmlns:p="http://schemas.microsoft.com/office/2006/metadata/properties" xmlns:ns3="483dba53-7734-44b0-a8e9-8dd24ce872c9" xmlns:ns4="c7d0f312-d748-48d1-b1de-9d5105df2206" targetNamespace="http://schemas.microsoft.com/office/2006/metadata/properties" ma:root="true" ma:fieldsID="1eefc07a77bc1eedb47d45fafc9c3c74" ns3:_="" ns4:_="">
    <xsd:import namespace="483dba53-7734-44b0-a8e9-8dd24ce872c9"/>
    <xsd:import namespace="c7d0f312-d748-48d1-b1de-9d5105df220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dba53-7734-44b0-a8e9-8dd24ce872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d0f312-d748-48d1-b1de-9d5105df220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EEFAD6-D7AF-4F3A-80D9-9AA274AD3D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3dba53-7734-44b0-a8e9-8dd24ce872c9"/>
    <ds:schemaRef ds:uri="c7d0f312-d748-48d1-b1de-9d5105df22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44A007-B0B2-471F-98AC-907F80928A77}">
  <ds:schemaRefs>
    <ds:schemaRef ds:uri="http://schemas.microsoft.com/sharepoint/v3/contenttype/forms"/>
  </ds:schemaRefs>
</ds:datastoreItem>
</file>

<file path=customXml/itemProps3.xml><?xml version="1.0" encoding="utf-8"?>
<ds:datastoreItem xmlns:ds="http://schemas.openxmlformats.org/officeDocument/2006/customXml" ds:itemID="{2B6C4460-F2D4-45BD-B064-3A9770BEDF3F}">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c7d0f312-d748-48d1-b1de-9d5105df2206"/>
    <ds:schemaRef ds:uri="http://purl.org/dc/elements/1.1/"/>
    <ds:schemaRef ds:uri="http://schemas.openxmlformats.org/package/2006/metadata/core-properties"/>
    <ds:schemaRef ds:uri="483dba53-7734-44b0-a8e9-8dd24ce872c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28</vt:i4>
      </vt:variant>
    </vt:vector>
  </HeadingPairs>
  <TitlesOfParts>
    <vt:vector size="39" baseType="lpstr">
      <vt:lpstr>Home page</vt:lpstr>
      <vt:lpstr>At-A-Glance</vt:lpstr>
      <vt:lpstr>Access and Equity</vt:lpstr>
      <vt:lpstr>Economic Effectiveness</vt:lpstr>
      <vt:lpstr>Environmental Sust. &amp; Res.</vt:lpstr>
      <vt:lpstr>Replicability</vt:lpstr>
      <vt:lpstr>Stakeholder Engagement</vt:lpstr>
      <vt:lpstr>Results</vt:lpstr>
      <vt:lpstr>Config</vt:lpstr>
      <vt:lpstr>QualCommentList</vt:lpstr>
      <vt:lpstr>Countries</vt:lpstr>
      <vt:lpstr>BenchmarkAE1</vt:lpstr>
      <vt:lpstr>BenchmarkAE2</vt:lpstr>
      <vt:lpstr>BenchmarkAE3</vt:lpstr>
      <vt:lpstr>BenchmarkAE4</vt:lpstr>
      <vt:lpstr>BenchmarkEE1</vt:lpstr>
      <vt:lpstr>BenchmarkEE2</vt:lpstr>
      <vt:lpstr>BenchmarkEE3</vt:lpstr>
      <vt:lpstr>BenchmarkEE4</vt:lpstr>
      <vt:lpstr>BenchmarkES1</vt:lpstr>
      <vt:lpstr>BenchmarkES2</vt:lpstr>
      <vt:lpstr>BenchmarkES3</vt:lpstr>
      <vt:lpstr>BenchmarkES4</vt:lpstr>
      <vt:lpstr>BenchmarkES5</vt:lpstr>
      <vt:lpstr>BenchmarkES6</vt:lpstr>
      <vt:lpstr>BenchmarkES7</vt:lpstr>
      <vt:lpstr>BenchmarkRE1</vt:lpstr>
      <vt:lpstr>BenchmarkRE2</vt:lpstr>
      <vt:lpstr>BenchmarkRE3</vt:lpstr>
      <vt:lpstr>BenchmarkSE1</vt:lpstr>
      <vt:lpstr>BenchmarkSE2</vt:lpstr>
      <vt:lpstr>BenchmarkSE3</vt:lpstr>
      <vt:lpstr>BenchmarkSE4</vt:lpstr>
      <vt:lpstr>'Access and Equity'!Print_Titles</vt:lpstr>
      <vt:lpstr>'Economic Effectiveness'!Print_Titles</vt:lpstr>
      <vt:lpstr>'Environmental Sust. &amp; Res.'!Print_Titles</vt:lpstr>
      <vt:lpstr>Replicability!Print_Titles</vt:lpstr>
      <vt:lpstr>Results!Print_Titles</vt:lpstr>
      <vt:lpstr>'Stakeholder Engagement'!Print_Titles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 Menegaux</dc:creator>
  <cp:lastModifiedBy>Antonin Menegaux</cp:lastModifiedBy>
  <cp:lastPrinted>2020-09-18T07:48:37Z</cp:lastPrinted>
  <dcterms:created xsi:type="dcterms:W3CDTF">2020-05-26T07:37:29Z</dcterms:created>
  <dcterms:modified xsi:type="dcterms:W3CDTF">2021-03-29T10:17:42Z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0x01010043F009AA20B2ED4399E9C39C77341190</vt:lpwstr>
  </property>
</Properties>
</file>